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KPI Catalog" sheetId="3" state="visible" r:id="rId5"/>
    <sheet name="Outcome Definitions" sheetId="4" state="visible" r:id="rId6"/>
    <sheet name="Data Dictionary" sheetId="5" state="visible" r:id="rId7"/>
  </sheets>
  <definedNames>
    <definedName function="false" hidden="true" localSheetId="4" name="_xlnm._FilterDatabase" vbProcedure="false">'Data Dictionary'!$A$4:$J$22</definedName>
    <definedName function="false" hidden="false" localSheetId="2" name="_xlnm.Print_Area" vbProcedure="false">'KPI Catalog'!$A$1:$AC$26</definedName>
    <definedName function="false" hidden="false" localSheetId="2" name="_xlnm.Print_Titles" vbProcedure="false">'KPI Catalog'!$4:$4</definedName>
    <definedName function="false" hidden="true" localSheetId="2" name="_xlnm._FilterDatabase" vbProcedure="false">'KPI Catalog'!$A$4:$AC$54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<sst xmlns="http://schemas.openxmlformats.org/spreadsheetml/2006/main" count="866" uniqueCount="549">
  <si>
    <t xml:space="preserve">KPI &amp; Metrics Definitions</t>
  </si>
  <si>
    <t xml:space="preserve">Merchant Payment Operations &amp; Dispute Hub</t>
  </si>
  <si>
    <t xml:space="preserve">Document</t>
  </si>
  <si>
    <t xml:space="preserve">KPI Catalog, Dispute Outcome Definitions and Data Dictionary</t>
  </si>
  <si>
    <t xml:space="preserve">Version</t>
  </si>
  <si>
    <t xml:space="preserve">1.1</t>
  </si>
  <si>
    <t xml:space="preserve">Reporting date</t>
  </si>
  <si>
    <t xml:space="preserve">Prepared by</t>
  </si>
  <si>
    <t xml:space="preserve">Bhawna, Product Owner</t>
  </si>
  <si>
    <t xml:space="preserve">Stage</t>
  </si>
  <si>
    <t xml:space="preserve">Pre-launch: definitions and measurement readiness. Current values populate after go-live (11-Dec-2026, illustrative).</t>
  </si>
  <si>
    <t xml:space="preserve">Companion documents</t>
  </si>
  <si>
    <t xml:space="preserve">Product_Backlog (US-), RTM (BR-, CTL-), RAID_Log (R-, A-, I-, D-) and Change_Log (CR-) workbooks</t>
  </si>
  <si>
    <t xml:space="preserve">Project type</t>
  </si>
  <si>
    <t xml:space="preserve">Simulation / portfolio project prepared to demonstrate Product Owner practice. Not an actual client system; baselines, targets and data sources are illustrative.</t>
  </si>
  <si>
    <t xml:space="preserve">Purpose</t>
  </si>
  <si>
    <t xml:space="preserve">Gives product, dispute ops, finance and technology one agreed definition for every metric used to judge the Dispute Hub: what it measures, the exact formula, where the data comes from, who owns it, and the target. Before launch, the Dashboard tracks whether each metric is ready to measure on day one.</t>
  </si>
  <si>
    <t xml:space="preserve">Metric tiers</t>
  </si>
  <si>
    <t xml:space="preserve">Tier</t>
  </si>
  <si>
    <t xml:space="preserve">North Star</t>
  </si>
  <si>
    <t xml:space="preserve">The single measure that best reflects value delivered to merchants. Everything else should move it.</t>
  </si>
  <si>
    <t xml:space="preserve">Outcome</t>
  </si>
  <si>
    <t xml:space="preserve">Business results the product is expected to change, such as on-time responses, handling time and portal adoption.</t>
  </si>
  <si>
    <t xml:space="preserve">Leading</t>
  </si>
  <si>
    <t xml:space="preserve">Early usage signals that predict outcomes, mostly from product analytics. Used heavily during the pilot.</t>
  </si>
  <si>
    <t xml:space="preserve">Guardrail</t>
  </si>
  <si>
    <t xml:space="preserve">Measures that must not get worse while chasing outcomes: data freshness, performance, card data protection, accessibility.</t>
  </si>
  <si>
    <t xml:space="preserve">Every metric definition must include</t>
  </si>
  <si>
    <t xml:space="preserve">1. A business question the metric answers, and a plain-language definition.</t>
  </si>
  <si>
    <t xml:space="preserve">2. An exact formula with numerator, denominator, filters and time window, written against Data Dictionary field names.</t>
  </si>
  <si>
    <t xml:space="preserve">3. Unit, direction (higher or lower is better), segments and refresh frequency.</t>
  </si>
  <si>
    <t xml:space="preserve">4. A named owner, data source and reporting tool.</t>
  </si>
  <si>
    <t xml:space="preserve">5. Baseline, target, amber threshold and target date. RAG: Green meets target; Amber is between target and amber threshold; Red is worse than the amber threshold.</t>
  </si>
  <si>
    <t xml:space="preserve">6. Links to the requirements, stories and RAID or change items it depends on.</t>
  </si>
  <si>
    <t xml:space="preserve">Status values</t>
  </si>
  <si>
    <t xml:space="preserve">Field</t>
  </si>
  <si>
    <t xml:space="preserve">Values</t>
  </si>
  <si>
    <t xml:space="preserve">Definition status</t>
  </si>
  <si>
    <t xml:space="preserve">Approved (signed off by owner) · Proposed (drafted, not yet agreed) · Pending decision (blocked by a change request or issue) · Retired</t>
  </si>
  <si>
    <t xml:space="preserve">Baseline captured</t>
  </si>
  <si>
    <t xml:space="preserve">Yes · Partial · No · Not applicable (new capability with no prior measure)</t>
  </si>
  <si>
    <t xml:space="preserve">Data source ready</t>
  </si>
  <si>
    <t xml:space="preserve">Yes · In progress (story not yet built) · No (dependency not delivered) · Blocked (an open issue prevents it)</t>
  </si>
  <si>
    <t xml:space="preserve">Measurement readiness</t>
  </si>
  <si>
    <t xml:space="preserve">Calculated. Ready: approved, baseline and source in place. At risk: pending decision or source blocked. Needs approval: definition still proposed. In progress: everything else.</t>
  </si>
  <si>
    <t xml:space="preserve">How to maintain</t>
  </si>
  <si>
    <t xml:space="preserve">1. Change a metric definition only through the metric owner, and record the change in the version history below.</t>
  </si>
  <si>
    <t xml:space="preserve">2. Review measurement readiness weekly until go-live; every Must-have metric should be Ready before UAT exit.</t>
  </si>
  <si>
    <t xml:space="preserve">3. After go-live, enter Current values each refresh; RAG and progress to target calculate automatically.</t>
  </si>
  <si>
    <t xml:space="preserve">4. Keep formulas in step with the Data Dictionary; if a field changes, update every metric that uses it.</t>
  </si>
  <si>
    <t xml:space="preserve">Grey columns calculate automatically. Yellow cells on the Outcome Definitions tab are example inputs.</t>
  </si>
  <si>
    <t xml:space="preserve">Version history</t>
  </si>
  <si>
    <t xml:space="preserve">Date</t>
  </si>
  <si>
    <t xml:space="preserve">Author</t>
  </si>
  <si>
    <t xml:space="preserve">Change summary</t>
  </si>
  <si>
    <t xml:space="preserve">1.0</t>
  </si>
  <si>
    <t xml:space="preserve">Bhawna</t>
  </si>
  <si>
    <t xml:space="preserve">Initial catalog of 18 metrics; proposed outcome definitions for CR-05 decision.</t>
  </si>
  <si>
    <t xml:space="preserve">Outcome target dates aligned to the quarterly benefits path (end-2028; KPI-06 end-2029). Added proposed KPI-19 to KPI-21 for beyond-MVP initiatives.</t>
  </si>
  <si>
    <t xml:space="preserve">KPI &amp; Measurement Readiness Dashboard</t>
  </si>
  <si>
    <t xml:space="preserve">Merchant Payment Operations &amp; Dispute Hub · Simulation project · Pre-launch view; scorecard RAG activates when Current values are entered</t>
  </si>
  <si>
    <t xml:space="preserve">Summary</t>
  </si>
  <si>
    <t xml:space="preserve">Metrics defined</t>
  </si>
  <si>
    <t xml:space="preserve">Approved</t>
  </si>
  <si>
    <t xml:space="preserve">Proposed</t>
  </si>
  <si>
    <t xml:space="preserve">Pending decision</t>
  </si>
  <si>
    <t xml:space="preserve">Ready to measure</t>
  </si>
  <si>
    <t xml:space="preserve">At risk</t>
  </si>
  <si>
    <t xml:space="preserve">Baselines captured</t>
  </si>
  <si>
    <t xml:space="preserve">Measurement readiness by tier</t>
  </si>
  <si>
    <t xml:space="preserve">Metrics</t>
  </si>
  <si>
    <t xml:space="preserve">Ready</t>
  </si>
  <si>
    <t xml:space="preserve">In progress</t>
  </si>
  <si>
    <t xml:space="preserve">Needs approval</t>
  </si>
  <si>
    <t xml:space="preserve">Total</t>
  </si>
  <si>
    <t xml:space="preserve">Metrics at risk of not being measurable at launch</t>
  </si>
  <si>
    <t xml:space="preserve">KPI ID</t>
  </si>
  <si>
    <t xml:space="preserve">Metric</t>
  </si>
  <si>
    <t xml:space="preserve">Ready by</t>
  </si>
  <si>
    <t xml:space="preserve">Blocked by</t>
  </si>
  <si>
    <t xml:space="preserve">Owner</t>
  </si>
  <si>
    <t xml:space="preserve">KPI scorecard</t>
  </si>
  <si>
    <t xml:space="preserve">Baseline</t>
  </si>
  <si>
    <t xml:space="preserve">Target</t>
  </si>
  <si>
    <t xml:space="preserve">Current</t>
  </si>
  <si>
    <t xml:space="preserve">RAG</t>
  </si>
  <si>
    <t xml:space="preserve">Readiness</t>
  </si>
  <si>
    <t xml:space="preserve">KPI Catalog</t>
  </si>
  <si>
    <t xml:space="preserve">Merchant Payment Operations &amp; Dispute Hub · Simulation project · One row per metric; formulas use Data Dictionary field names</t>
  </si>
  <si>
    <t xml:space="preserve">Grey columns calculate automatically. Enter Current values (yellow) after go-live; RAG and progress update. Baselines and targets are illustrative.</t>
  </si>
  <si>
    <t xml:space="preserve">Metric Name</t>
  </si>
  <si>
    <t xml:space="preserve">Business Question</t>
  </si>
  <si>
    <t xml:space="preserve">Definition</t>
  </si>
  <si>
    <t xml:space="preserve">Formula</t>
  </si>
  <si>
    <t xml:space="preserve">Unit</t>
  </si>
  <si>
    <t xml:space="preserve">Direction</t>
  </si>
  <si>
    <t xml:space="preserve">Segments</t>
  </si>
  <si>
    <t xml:space="preserve">Data Source</t>
  </si>
  <si>
    <t xml:space="preserve">Reporting Tool</t>
  </si>
  <si>
    <t xml:space="preserve">Refresh</t>
  </si>
  <si>
    <t xml:space="preserve">Metric Owner</t>
  </si>
  <si>
    <t xml:space="preserve">Amber Threshold</t>
  </si>
  <si>
    <t xml:space="preserve">Progress to Target</t>
  </si>
  <si>
    <t xml:space="preserve">Target Date</t>
  </si>
  <si>
    <t xml:space="preserve">Definition Status</t>
  </si>
  <si>
    <t xml:space="preserve">Baseline Captured</t>
  </si>
  <si>
    <t xml:space="preserve">Data Source Ready</t>
  </si>
  <si>
    <t xml:space="preserve">Measurement Readiness</t>
  </si>
  <si>
    <t xml:space="preserve">Ready By</t>
  </si>
  <si>
    <t xml:space="preserve">Linked Requirements</t>
  </si>
  <si>
    <t xml:space="preserve">Linked Stories</t>
  </si>
  <si>
    <t xml:space="preserve">Linked RAID / CR</t>
  </si>
  <si>
    <t xml:space="preserve">Notes</t>
  </si>
  <si>
    <t xml:space="preserve">Risk helper</t>
  </si>
  <si>
    <t xml:space="preserve">KPI-01</t>
  </si>
  <si>
    <t xml:space="preserve">Dispute value recovery rate</t>
  </si>
  <si>
    <t xml:space="preserve">How much disputed money are merchants getting back?</t>
  </si>
  <si>
    <t xml:space="preserve">Share of disputed value returned to merchants across contested disputes closed in the period, including partial recoveries.</t>
  </si>
  <si>
    <t xml:space="preserve">Sum of recovered_amount ÷ Sum of dispute_amount, for disputes closed in the period with outcome Won, Partially won or Lost</t>
  </si>
  <si>
    <t xml:space="preserve">%</t>
  </si>
  <si>
    <t xml:space="preserve">Higher is better</t>
  </si>
  <si>
    <t xml:space="preserve">Month; merchant segment; reason code</t>
  </si>
  <si>
    <t xml:space="preserve">Dispute records with outcomes and recovered amounts; settlement reversals (D-04)</t>
  </si>
  <si>
    <t xml:space="preserve">Power BI</t>
  </si>
  <si>
    <t xml:space="preserve">Monthly</t>
  </si>
  <si>
    <t xml:space="preserve">Finance Lead</t>
  </si>
  <si>
    <t xml:space="preserve">Partial</t>
  </si>
  <si>
    <t xml:space="preserve">No</t>
  </si>
  <si>
    <t xml:space="preserve">BR-11</t>
  </si>
  <si>
    <t xml:space="preserve">US-032</t>
  </si>
  <si>
    <t xml:space="preserve">CR-05, I-05, A-06, D-04</t>
  </si>
  <si>
    <t xml:space="preserve">Treatment of partial wins depends on CR-05. Baseline illustrative until A-06 confirms 12 months of history.</t>
  </si>
  <si>
    <t xml:space="preserve">KPI-02</t>
  </si>
  <si>
    <t xml:space="preserve">Dispute win rate</t>
  </si>
  <si>
    <t xml:space="preserve">Of the disputes merchants contest, how many do they win outright?</t>
  </si>
  <si>
    <t xml:space="preserve">Share of contested closed disputes resolved fully in the merchant's favor. Partially won disputes are reported separately (proposed under CR-05).</t>
  </si>
  <si>
    <t xml:space="preserve">Won ÷ (Won + Partially won + Lost), for disputes closed in the period</t>
  </si>
  <si>
    <t xml:space="preserve">Month; merchant segment; reason code; card network</t>
  </si>
  <si>
    <t xml:space="preserve">Dispute records with normalized outcome</t>
  </si>
  <si>
    <t xml:space="preserve">US-032, US-031</t>
  </si>
  <si>
    <t xml:space="preserve">CR-05, I-05</t>
  </si>
  <si>
    <t xml:space="preserve">See Outcome Definitions tab for the worked example of how Finance and Ops methods differ.</t>
  </si>
  <si>
    <t xml:space="preserve">KPI-03</t>
  </si>
  <si>
    <t xml:space="preserve">On-time response rate</t>
  </si>
  <si>
    <t xml:space="preserve">Are merchants responding before the deadline?</t>
  </si>
  <si>
    <t xml:space="preserve">Share of disputes whose response deadline fell in the period that had evidence submitted or were accepted before the deadline.</t>
  </si>
  <si>
    <t xml:space="preserve">Disputes with responded_at ≤ response_due_at ÷ Disputes with response_due_at in the period</t>
  </si>
  <si>
    <t xml:space="preserve">Week; merchant; response channel</t>
  </si>
  <si>
    <t xml:space="preserve">Dispute status history from processor feed</t>
  </si>
  <si>
    <t xml:space="preserve">Weekly</t>
  </si>
  <si>
    <t xml:space="preserve">Dispute Ops Lead</t>
  </si>
  <si>
    <t xml:space="preserve">Yes</t>
  </si>
  <si>
    <t xml:space="preserve">BR-01, BR-03, BR-09</t>
  </si>
  <si>
    <t xml:space="preserve">US-011, US-015, US-019, US-025</t>
  </si>
  <si>
    <t xml:space="preserve">R-03, I-01</t>
  </si>
  <si>
    <t xml:space="preserve">Source depends on reliable status updates (US-019, blocked by I-01).</t>
  </si>
  <si>
    <t xml:space="preserve">KPI-04</t>
  </si>
  <si>
    <t xml:space="preserve">Missed-deadline loss rate</t>
  </si>
  <si>
    <t xml:space="preserve">How often do merchants lose disputes simply because no one responded?</t>
  </si>
  <si>
    <t xml:space="preserve">Share of closed disputes that expired because no response was sent before the deadline.</t>
  </si>
  <si>
    <t xml:space="preserve">Disputes closed with outcome Expired ÷ All disputes closed in the period</t>
  </si>
  <si>
    <t xml:space="preserve">Lower is better</t>
  </si>
  <si>
    <t xml:space="preserve">Week; merchant; reason code</t>
  </si>
  <si>
    <t xml:space="preserve">BR-08, BR-09</t>
  </si>
  <si>
    <t xml:space="preserve">US-023, US-025</t>
  </si>
  <si>
    <t xml:space="preserve">R-03</t>
  </si>
  <si>
    <t xml:space="preserve">Epic EP-05 success measure.</t>
  </si>
  <si>
    <t xml:space="preserve">KPI-05</t>
  </si>
  <si>
    <t xml:space="preserve">Average ops handling time per dispute</t>
  </si>
  <si>
    <t xml:space="preserve">How much ops effort does each dispute take?</t>
  </si>
  <si>
    <t xml:space="preserve">Average active handling time by dispute ops for disputes resolved from the ops work queue.</t>
  </si>
  <si>
    <t xml:space="preserve">Sum of (ops_resolved_at − ops_assigned_at) in minutes ÷ Disputes resolved by ops in the period</t>
  </si>
  <si>
    <t xml:space="preserve">minutes</t>
  </si>
  <si>
    <t xml:space="preserve">Month; analyst team; reason code</t>
  </si>
  <si>
    <t xml:space="preserve">Ops work queue timestamps; baseline from August 2026 time study</t>
  </si>
  <si>
    <t xml:space="preserve">BR-18</t>
  </si>
  <si>
    <t xml:space="preserve">US-035</t>
  </si>
  <si>
    <t xml:space="preserve">Epic EP-08 success measure. Baseline from manual time study (illustrative).</t>
  </si>
  <si>
    <t xml:space="preserve">KPI-06</t>
  </si>
  <si>
    <t xml:space="preserve">Portal evidence submission share</t>
  </si>
  <si>
    <t xml:space="preserve">Are merchants using the portal instead of email?</t>
  </si>
  <si>
    <t xml:space="preserve">Share of evidence packages submitted through the portal rather than by email to dispute ops.</t>
  </si>
  <si>
    <t xml:space="preserve">Evidence packages with response_channel = Portal ÷ All evidence packages submitted in the period</t>
  </si>
  <si>
    <t xml:space="preserve">Week; merchant; pilot vs non-pilot</t>
  </si>
  <si>
    <t xml:space="preserve">Portal submission records; dispute ops email intake log</t>
  </si>
  <si>
    <t xml:space="preserve">Product Owner</t>
  </si>
  <si>
    <t xml:space="preserve">BR-03</t>
  </si>
  <si>
    <t xml:space="preserve">US-015</t>
  </si>
  <si>
    <t xml:space="preserve">A-01, R-04</t>
  </si>
  <si>
    <t xml:space="preserve">Baseline is 0% because all evidence arrives by email today.</t>
  </si>
  <si>
    <t xml:space="preserve">KPI-07</t>
  </si>
  <si>
    <t xml:space="preserve">Settlement support contacts per 100 merchants</t>
  </si>
  <si>
    <t xml:space="preserve">Do merchants still need to call us to understand payouts?</t>
  </si>
  <si>
    <t xml:space="preserve">Monthly servicing contacts tagged as settlement or payout queries, per 100 active merchants.</t>
  </si>
  <si>
    <t xml:space="preserve">Contacts with reason = Settlement query ÷ Active merchants × 100</t>
  </si>
  <si>
    <t xml:space="preserve">count</t>
  </si>
  <si>
    <t xml:space="preserve">Month; merchant segment</t>
  </si>
  <si>
    <t xml:space="preserve">Servicing CRM contact reasons; merchant master</t>
  </si>
  <si>
    <t xml:space="preserve">BR-10</t>
  </si>
  <si>
    <t xml:space="preserve">US-028, US-029</t>
  </si>
  <si>
    <t xml:space="preserve">Needs agreement with Customer Servicing on contact reason tagging. Epic EP-06 success measure.</t>
  </si>
  <si>
    <t xml:space="preserve">KPI-08</t>
  </si>
  <si>
    <t xml:space="preserve">Pilot merchant activation rate</t>
  </si>
  <si>
    <t xml:space="preserve">Are invited pilot merchants actually starting to use the portal?</t>
  </si>
  <si>
    <t xml:space="preserve">Share of invited pilot merchants with at least one user who viewed a dispute within 4 weeks of invitation.</t>
  </si>
  <si>
    <t xml:space="preserve">Pilot merchants with ≥1 dispute_viewed event within 28 days of invite ÷ Pilot merchants invited</t>
  </si>
  <si>
    <t xml:space="preserve">Pilot cohort; weeks since invite</t>
  </si>
  <si>
    <t xml:space="preserve">Amplitude events; pilot invitation list</t>
  </si>
  <si>
    <t xml:space="preserve">Amplitude</t>
  </si>
  <si>
    <t xml:space="preserve">Not applicable</t>
  </si>
  <si>
    <t xml:space="preserve">Blocked</t>
  </si>
  <si>
    <t xml:space="preserve">BR-20</t>
  </si>
  <si>
    <t xml:space="preserve">US-034, US-005</t>
  </si>
  <si>
    <t xml:space="preserve">R-04, I-06</t>
  </si>
  <si>
    <t xml:space="preserve">Matches the R-04 early-warning trigger (activation below 60% after 4 weeks).</t>
  </si>
  <si>
    <t xml:space="preserve">KPI-09</t>
  </si>
  <si>
    <t xml:space="preserve">Weekly active user rate</t>
  </si>
  <si>
    <t xml:space="preserve">Are merchant users coming back each week?</t>
  </si>
  <si>
    <t xml:space="preserve">Share of enabled merchant users who performed at least one key action (view dispute, upload, submit, export) in the last 7 days.</t>
  </si>
  <si>
    <t xml:space="preserve">Unique users with ≥1 key action in 7 days ÷ Enabled merchant users</t>
  </si>
  <si>
    <t xml:space="preserve">Week; merchant; role</t>
  </si>
  <si>
    <t xml:space="preserve">Amplitude events; identity platform user list</t>
  </si>
  <si>
    <t xml:space="preserve">US-034</t>
  </si>
  <si>
    <t xml:space="preserve">I-06</t>
  </si>
  <si>
    <t xml:space="preserve">Uses pseudonymous user IDs only (CTL-04).</t>
  </si>
  <si>
    <t xml:space="preserve">KPI-10</t>
  </si>
  <si>
    <t xml:space="preserve">Evidence submission completion rate</t>
  </si>
  <si>
    <t xml:space="preserve">Do users who start a response finish it?</t>
  </si>
  <si>
    <t xml:space="preserve">Share of users who start an evidence upload and go on to submit the response for the same dispute within 7 days.</t>
  </si>
  <si>
    <t xml:space="preserve">Users with evidence_submitted after evidence_upload_started (same dispute, ≤7 days) ÷ Users with evidence_upload_started</t>
  </si>
  <si>
    <t xml:space="preserve">Week; device type; file type</t>
  </si>
  <si>
    <t xml:space="preserve">Amplitude funnel</t>
  </si>
  <si>
    <t xml:space="preserve">BR-03, BR-20</t>
  </si>
  <si>
    <t xml:space="preserve">US-012, US-015, US-034</t>
  </si>
  <si>
    <t xml:space="preserve">Identifies drop-off in the upload and submit flow.</t>
  </si>
  <si>
    <t xml:space="preserve">KPI-11</t>
  </si>
  <si>
    <t xml:space="preserve">Onboarding guide completion rate</t>
  </si>
  <si>
    <t xml:space="preserve">Is the in-portal guide helping new users get started?</t>
  </si>
  <si>
    <t xml:space="preserve">Share of first-time users who complete all steps of the onboarding guide.</t>
  </si>
  <si>
    <t xml:space="preserve">Users with onboarding_completed ÷ Users with first sign-in in the period</t>
  </si>
  <si>
    <t xml:space="preserve">Amplitude events</t>
  </si>
  <si>
    <t xml:space="preserve">US-005, US-034</t>
  </si>
  <si>
    <t xml:space="preserve">KPI-12</t>
  </si>
  <si>
    <t xml:space="preserve">Status sync latency (95th percentile)</t>
  </si>
  <si>
    <t xml:space="preserve">Are the statuses and deadlines merchants see current?</t>
  </si>
  <si>
    <t xml:space="preserve">95th percentile time between the processor recording a status change and the hub applying it.</t>
  </si>
  <si>
    <t xml:space="preserve">P95 of (hub_updated_at − processor_event_at) in minutes, for status events in the period</t>
  </si>
  <si>
    <t xml:space="preserve">Day; event type</t>
  </si>
  <si>
    <t xml:space="preserve">Status event log</t>
  </si>
  <si>
    <t xml:space="preserve">Daily</t>
  </si>
  <si>
    <t xml:space="preserve">Tech Lead</t>
  </si>
  <si>
    <t xml:space="preserve">BR-06</t>
  </si>
  <si>
    <t xml:space="preserve">US-019, US-020</t>
  </si>
  <si>
    <t xml:space="preserve">R-03, I-01, A-02</t>
  </si>
  <si>
    <t xml:space="preserve">Target from BR-06.</t>
  </si>
  <si>
    <t xml:space="preserve">KPI-13</t>
  </si>
  <si>
    <t xml:space="preserve">Feed freshness breaches</t>
  </si>
  <si>
    <t xml:space="preserve">How often does the processor feed go quiet?</t>
  </si>
  <si>
    <t xml:space="preserve">Number of times no dispute updates were received for 2 hours or more during business hours.</t>
  </si>
  <si>
    <t xml:space="preserve">Count of feed freshness alerts raised in the period</t>
  </si>
  <si>
    <t xml:space="preserve">Month</t>
  </si>
  <si>
    <t xml:space="preserve">Monitoring alerts</t>
  </si>
  <si>
    <t xml:space="preserve">BR-08</t>
  </si>
  <si>
    <t xml:space="preserve">US-023</t>
  </si>
  <si>
    <t xml:space="preserve">Target is per month.</t>
  </si>
  <si>
    <t xml:space="preserve">KPI-14</t>
  </si>
  <si>
    <t xml:space="preserve">API response time (95th percentile)</t>
  </si>
  <si>
    <t xml:space="preserve">Is the portal fast enough when volumes peak?</t>
  </si>
  <si>
    <t xml:space="preserve">95th percentile response time for merchant portal and servicing APIs.</t>
  </si>
  <si>
    <t xml:space="preserve">P95 of API response time in seconds, per day</t>
  </si>
  <si>
    <t xml:space="preserve">seconds</t>
  </si>
  <si>
    <t xml:space="preserve">Day; endpoint</t>
  </si>
  <si>
    <t xml:space="preserve">Application performance monitoring tool</t>
  </si>
  <si>
    <t xml:space="preserve">BR-16</t>
  </si>
  <si>
    <t xml:space="preserve">US-043, US-024</t>
  </si>
  <si>
    <t xml:space="preserve">R-09</t>
  </si>
  <si>
    <t xml:space="preserve">Target from BR-16; validated by load test TC-053.</t>
  </si>
  <si>
    <t xml:space="preserve">KPI-15</t>
  </si>
  <si>
    <t xml:space="preserve">Settlement reconciliation variance</t>
  </si>
  <si>
    <t xml:space="preserve">Can merchants and finance trust settlement numbers?</t>
  </si>
  <si>
    <t xml:space="preserve">Absolute difference between settlement totals in reports and the finance ledger, as a share of the ledger total.</t>
  </si>
  <si>
    <t xml:space="preserve">|Sum of net_payout_amount − Sum of ledger_amount| ÷ Sum of ledger_amount, per settlement month</t>
  </si>
  <si>
    <t xml:space="preserve">Month; payout date</t>
  </si>
  <si>
    <t xml:space="preserve">Settlement pipeline (D-04); finance ledger extract</t>
  </si>
  <si>
    <t xml:space="preserve">BR-12</t>
  </si>
  <si>
    <t xml:space="preserve">US-033, US-028</t>
  </si>
  <si>
    <t xml:space="preserve">R-05, D-04</t>
  </si>
  <si>
    <t xml:space="preserve">Target from BR-12. Pipeline due 09-Oct-2026 (D-04).</t>
  </si>
  <si>
    <t xml:space="preserve">KPI-16</t>
  </si>
  <si>
    <t xml:space="preserve">Card data exposure incidents</t>
  </si>
  <si>
    <t xml:space="preserve">Is any full card number getting through?</t>
  </si>
  <si>
    <t xml:space="preserve">Number of full card numbers found in stored evidence, exports or analytics after redaction.</t>
  </si>
  <si>
    <t xml:space="preserve">Count of confirmed card number detections from scheduled data loss prevention scans and redaction service logs</t>
  </si>
  <si>
    <t xml:space="preserve">Month; location found</t>
  </si>
  <si>
    <t xml:space="preserve">Redaction service logs; data loss prevention scans</t>
  </si>
  <si>
    <t xml:space="preserve">Compliance Lead</t>
  </si>
  <si>
    <t xml:space="preserve">BR-04</t>
  </si>
  <si>
    <t xml:space="preserve">US-013, US-014, US-030</t>
  </si>
  <si>
    <t xml:space="preserve">R-02, CR-03</t>
  </si>
  <si>
    <t xml:space="preserve">Any incident is Red and triggers the incident process (CTL-01).</t>
  </si>
  <si>
    <t xml:space="preserve">KPI-17</t>
  </si>
  <si>
    <t xml:space="preserve">Open critical or serious accessibility issues</t>
  </si>
  <si>
    <t xml:space="preserve">Can every merchant user use the portal?</t>
  </si>
  <si>
    <t xml:space="preserve">Number of open critical or serious WCAG 2.1 AA issues on live merchant portal screens.</t>
  </si>
  <si>
    <t xml:space="preserve">Count of open accessibility issues with severity Critical or Serious</t>
  </si>
  <si>
    <t xml:space="preserve">Release; screen</t>
  </si>
  <si>
    <t xml:space="preserve">Accessibility audit tracker</t>
  </si>
  <si>
    <t xml:space="preserve">Per release</t>
  </si>
  <si>
    <t xml:space="preserve">UX Designer</t>
  </si>
  <si>
    <t xml:space="preserve">BR-15</t>
  </si>
  <si>
    <t xml:space="preserve">US-042</t>
  </si>
  <si>
    <t xml:space="preserve">R-10</t>
  </si>
  <si>
    <t xml:space="preserve">KPI-18</t>
  </si>
  <si>
    <t xml:space="preserve">Merchant satisfaction with dispute handling</t>
  </si>
  <si>
    <t xml:space="preserve">How do merchants feel about the dispute process?</t>
  </si>
  <si>
    <t xml:space="preserve">Average rating from a one-question survey sent when a dispute closes (1 = very dissatisfied, 5 = very satisfied).</t>
  </si>
  <si>
    <t xml:space="preserve">Sum of survey scores ÷ Survey responses received in the period</t>
  </si>
  <si>
    <t xml:space="preserve">score</t>
  </si>
  <si>
    <t xml:space="preserve">Month; outcome; merchant segment</t>
  </si>
  <si>
    <t xml:space="preserve">Post-resolution survey tool</t>
  </si>
  <si>
    <t xml:space="preserve">R-04</t>
  </si>
  <si>
    <t xml:space="preserve">Survey not in MVP backlog; propose as a pilot survey or Phase 2 story.</t>
  </si>
  <si>
    <t xml:space="preserve">KPI-19</t>
  </si>
  <si>
    <t xml:space="preserve">Disputes resolved before chargeback</t>
  </si>
  <si>
    <t xml:space="preserve">How many disputes do we stop before they become chargebacks?</t>
  </si>
  <si>
    <t xml:space="preserve">Share of pre-dispute alerts and inquiries resolved by refund, order details or withdrawal before a chargeback is issued.</t>
  </si>
  <si>
    <t xml:space="preserve">Alerts resolved before chargeback ÷ Alerts and inquiries received in the period</t>
  </si>
  <si>
    <t xml:space="preserve">Month; alert program; reason code</t>
  </si>
  <si>
    <t xml:space="preserve">Alert programs (for example Amex Accelerated Dispute Resolution, Visa Order Insight, Mastercard Ethoca); hub alert log</t>
  </si>
  <si>
    <t xml:space="preserve">RM-25, S09, DSC-09</t>
  </si>
  <si>
    <t xml:space="preserve">Beyond MVP. Target is illustrative until alert programs and costs are confirmed with the acquirer.</t>
  </si>
  <si>
    <t xml:space="preserve">KPI-20</t>
  </si>
  <si>
    <t xml:space="preserve">AI evidence packet acceptance rate</t>
  </si>
  <si>
    <t xml:space="preserve">Do merchants trust the evidence packets the AI copilot drafts?</t>
  </si>
  <si>
    <t xml:space="preserve">Share of AI-drafted evidence packets that merchants submit without removing any suggested items.</t>
  </si>
  <si>
    <t xml:space="preserve">AI packets submitted with all suggested items kept ÷ AI packets submitted in the period</t>
  </si>
  <si>
    <t xml:space="preserve">Month; reason code; dispute amount band</t>
  </si>
  <si>
    <t xml:space="preserve">Hub audit log of AI suggestions and merchant edits</t>
  </si>
  <si>
    <t xml:space="preserve">RM-26, S10, DSC-07, DSC-08</t>
  </si>
  <si>
    <t xml:space="preserve">Beyond MVP. Read alongside win rate on AI packets so acceptance isn't a vanity metric; review removed items for model quality.</t>
  </si>
  <si>
    <t xml:space="preserve">KPI-21</t>
  </si>
  <si>
    <t xml:space="preserve">Merchants near a monitoring threshold</t>
  </si>
  <si>
    <t xml:space="preserve">Are merchants drifting toward card network monitoring programs?</t>
  </si>
  <si>
    <t xml:space="preserve">Share of active merchants whose dispute or fraud ratio is above 80% of any card network monitoring threshold.</t>
  </si>
  <si>
    <t xml:space="preserve">Merchants above 80% of any threshold ÷ Active merchants, at month end</t>
  </si>
  <si>
    <t xml:space="preserve">Month; card network; segment</t>
  </si>
  <si>
    <t xml:space="preserve">Network dispute and fraud reports; dispute ratio calculation</t>
  </si>
  <si>
    <t xml:space="preserve">Merchant Relationship Lead</t>
  </si>
  <si>
    <t xml:space="preserve">RM-28, S11, DSC-10</t>
  </si>
  <si>
    <t xml:space="preserve">Beyond MVP. Thresholds and counting rules come from the acquirer and change with network rules (including Amex's own programs).</t>
  </si>
  <si>
    <t xml:space="preserve">Dispute Status &amp; Outcome Definitions</t>
  </si>
  <si>
    <t xml:space="preserve">Merchant Payment Operations &amp; Dispute Hub · Simulation project · Resolves I-05 once CR-05 is decided</t>
  </si>
  <si>
    <t xml:space="preserve">STATUS: Outcome treatment below is PROPOSED under CR-05 Option C. Decision by Business Sponsor due 18-Sep-2026. After the decision, update this tab and the Definition Status of KPI-01 and KPI-02.</t>
  </si>
  <si>
    <t xml:space="preserve">1. Internal dispute statuses</t>
  </si>
  <si>
    <t xml:space="preserve">Internal status</t>
  </si>
  <si>
    <t xml:space="preserve">Example processor values (illustrative)</t>
  </si>
  <si>
    <t xml:space="preserve">Open / Closed</t>
  </si>
  <si>
    <t xml:space="preserve">Merchant-facing label</t>
  </si>
  <si>
    <t xml:space="preserve">New</t>
  </si>
  <si>
    <t xml:space="preserve">Dispute received from the processor; no merchant or ops action yet.</t>
  </si>
  <si>
    <t xml:space="preserve">NEW, OPENED</t>
  </si>
  <si>
    <t xml:space="preserve">Open</t>
  </si>
  <si>
    <t xml:space="preserve">Awaiting evidence</t>
  </si>
  <si>
    <t xml:space="preserve">Merchant can respond and the response deadline is running.</t>
  </si>
  <si>
    <t xml:space="preserve">EVIDENCE_REQUIRED, ACTION_NEEDED</t>
  </si>
  <si>
    <t xml:space="preserve">Action needed</t>
  </si>
  <si>
    <t xml:space="preserve">Due date shown and reminders sent (US-011, US-025).</t>
  </si>
  <si>
    <t xml:space="preserve">Evidence submitted</t>
  </si>
  <si>
    <t xml:space="preserve">Merchant response has been sent to the processor.</t>
  </si>
  <si>
    <t xml:space="preserve">RESPONSE_SUBMITTED</t>
  </si>
  <si>
    <t xml:space="preserve">Response sent</t>
  </si>
  <si>
    <t xml:space="preserve">Under review</t>
  </si>
  <si>
    <t xml:space="preserve">Processor or card network is reviewing the dispute.</t>
  </si>
  <si>
    <t xml:space="preserve">UNDER_REVIEW, IN_REVIEW</t>
  </si>
  <si>
    <t xml:space="preserve">IN_REVIEW was mis-mapped to Closed in SIT (DEF-03).</t>
  </si>
  <si>
    <t xml:space="preserve">Accepted</t>
  </si>
  <si>
    <t xml:space="preserve">Merchant accepted the dispute without contesting.</t>
  </si>
  <si>
    <t xml:space="preserve">ACCEPTED, MERCHANT_ACCEPTED</t>
  </si>
  <si>
    <t xml:space="preserve">Closed</t>
  </si>
  <si>
    <t xml:space="preserve">US-016.</t>
  </si>
  <si>
    <t xml:space="preserve">Expired</t>
  </si>
  <si>
    <t xml:space="preserve">Response deadline passed with no evidence submitted and no acceptance.</t>
  </si>
  <si>
    <t xml:space="preserve">EXPIRED, NO_RESPONSE</t>
  </si>
  <si>
    <t xml:space="preserve">Deadline passed</t>
  </si>
  <si>
    <t xml:space="preserve">Drives KPI-04.</t>
  </si>
  <si>
    <t xml:space="preserve">Won</t>
  </si>
  <si>
    <t xml:space="preserve">Resolved fully in the merchant's favor.</t>
  </si>
  <si>
    <t xml:space="preserve">WON, RESOLVED_MERCHANT</t>
  </si>
  <si>
    <t xml:space="preserve">Partially won</t>
  </si>
  <si>
    <t xml:space="preserve">Resolved with part of the disputed amount returned to the merchant.</t>
  </si>
  <si>
    <t xml:space="preserve">PARTIAL_WIN, SPLIT_DECISION</t>
  </si>
  <si>
    <t xml:space="preserve">New category proposed under CR-05 Option C.</t>
  </si>
  <si>
    <t xml:space="preserve">Lost</t>
  </si>
  <si>
    <t xml:space="preserve">Resolved in the cardholder's favor after the merchant responded.</t>
  </si>
  <si>
    <t xml:space="preserve">LOST, RESOLVED_CARDHOLDER</t>
  </si>
  <si>
    <t xml:space="preserve">Processor values are examples only; confirm against the processor API documentation (A-02). Mapping is implemented in US-020 and tested in TC-029 and TC-030.</t>
  </si>
  <si>
    <t xml:space="preserve">2. How each outcome is treated in KPIs</t>
  </si>
  <si>
    <t xml:space="preserve">In win-rate denominator (contested)?</t>
  </si>
  <si>
    <t xml:space="preserve">Counts as a win?</t>
  </si>
  <si>
    <t xml:space="preserve">Recovered amount used in KPI-01</t>
  </si>
  <si>
    <t xml:space="preserve">Finance method today</t>
  </si>
  <si>
    <t xml:space="preserve">Ops method today</t>
  </si>
  <si>
    <t xml:space="preserve">Proposed rule (CR-05 Option C)</t>
  </si>
  <si>
    <t xml:space="preserve">Full dispute_amount</t>
  </si>
  <si>
    <t xml:space="preserve">Won; counts as a win.</t>
  </si>
  <si>
    <t xml:space="preserve">No (reported separately)</t>
  </si>
  <si>
    <t xml:space="preserve">Amount returned</t>
  </si>
  <si>
    <t xml:space="preserve">Own category; recovered amount included in KPI-01.</t>
  </si>
  <si>
    <t xml:space="preserve">0</t>
  </si>
  <si>
    <t xml:space="preserve">Lost.</t>
  </si>
  <si>
    <t xml:space="preserve">Excluded</t>
  </si>
  <si>
    <t xml:space="preserve">Excluded from win rate; tracked as acceptance volume.</t>
  </si>
  <si>
    <t xml:space="preserve">Excluded from win rate; counted in KPI-04 missed-deadline loss rate.</t>
  </si>
  <si>
    <t xml:space="preserve">3. Worked example: why Finance and Ops reported different numbers</t>
  </si>
  <si>
    <t xml:space="preserve">Edit the yellow counts to test the definitions. Results calculate automatically.</t>
  </si>
  <si>
    <t xml:space="preserve">Closed disputes in period</t>
  </si>
  <si>
    <t xml:space="preserve">Count</t>
  </si>
  <si>
    <t xml:space="preserve">Total closed</t>
  </si>
  <si>
    <t xml:space="preserve">Method</t>
  </si>
  <si>
    <t xml:space="preserve">Result</t>
  </si>
  <si>
    <t xml:space="preserve">Won ÷ All closed disputes</t>
  </si>
  <si>
    <t xml:space="preserve">(Won + Partially won) ÷ (Won + Partially won + Lost)</t>
  </si>
  <si>
    <t xml:space="preserve">Proposed KPI-02 win rate</t>
  </si>
  <si>
    <t xml:space="preserve">Won ÷ (Won + Partially won + Lost)</t>
  </si>
  <si>
    <t xml:space="preserve">Proposed partial win rate (reported alongside)</t>
  </si>
  <si>
    <t xml:space="preserve">Partially won ÷ (Won + Partially won + Lost)</t>
  </si>
  <si>
    <t xml:space="preserve">Proposed KPI-04 missed-deadline loss rate</t>
  </si>
  <si>
    <t xml:space="preserve">Expired ÷ All closed disputes</t>
  </si>
  <si>
    <t xml:space="preserve">Takeaway: the same closed disputes produce very different win rates depending on how partial wins, acceptances and expiries are counted. The proposal reports each outcome explicitly, so Finance and Ops use one set of numbers and can still see the view each team cares about.</t>
  </si>
  <si>
    <t xml:space="preserve">Data Dictionary</t>
  </si>
  <si>
    <t xml:space="preserve">Merchant Payment Operations &amp; Dispute Hub · Simulation project · Fields referenced in KPI formulas</t>
  </si>
  <si>
    <t xml:space="preserve">Add a field here before using it in a KPI formula. Sensitivity follows the client's data classification policy.</t>
  </si>
  <si>
    <t xml:space="preserve">Field Name</t>
  </si>
  <si>
    <t xml:space="preserve">Entity</t>
  </si>
  <si>
    <t xml:space="preserve">Description</t>
  </si>
  <si>
    <t xml:space="preserve">Data Type</t>
  </si>
  <si>
    <t xml:space="preserve">Example (illustrative)</t>
  </si>
  <si>
    <t xml:space="preserve">Source System</t>
  </si>
  <si>
    <t xml:space="preserve">Data Owner</t>
  </si>
  <si>
    <t xml:space="preserve">Quality Rule</t>
  </si>
  <si>
    <t xml:space="preserve">Used by KPIs</t>
  </si>
  <si>
    <t xml:space="preserve">Sensitivity</t>
  </si>
  <si>
    <t xml:space="preserve">dispute_id</t>
  </si>
  <si>
    <t xml:space="preserve">Dispute</t>
  </si>
  <si>
    <t xml:space="preserve">Unique identifier for a dispute, from the processor.</t>
  </si>
  <si>
    <t xml:space="preserve">Text</t>
  </si>
  <si>
    <t xml:space="preserve">DSP-2026-000123</t>
  </si>
  <si>
    <t xml:space="preserve">Processor dispute API</t>
  </si>
  <si>
    <t xml:space="preserve">Not null; unique</t>
  </si>
  <si>
    <t xml:space="preserve">All dispute KPIs</t>
  </si>
  <si>
    <t xml:space="preserve">Internal</t>
  </si>
  <si>
    <t xml:space="preserve">merchant_id</t>
  </si>
  <si>
    <t xml:space="preserve">Dispute; Settlement</t>
  </si>
  <si>
    <t xml:space="preserve">Identifier of the merchant the dispute or payout belongs to.</t>
  </si>
  <si>
    <t xml:space="preserve">MER-004821</t>
  </si>
  <si>
    <t xml:space="preserve">Processor API; merchant master</t>
  </si>
  <si>
    <t xml:space="preserve">Data Engineering Lead</t>
  </si>
  <si>
    <t xml:space="preserve">Not null; must exist in merchant master (R-05)</t>
  </si>
  <si>
    <t xml:space="preserve">KPI-01 to KPI-07, KPI-15</t>
  </si>
  <si>
    <t xml:space="preserve">reason_code</t>
  </si>
  <si>
    <t xml:space="preserve">Card network reason code, mapped to an internal category through reference data.</t>
  </si>
  <si>
    <t xml:space="preserve">RC-13.1</t>
  </si>
  <si>
    <t xml:space="preserve">Must map to an internal category or route to manual review (US-022)</t>
  </si>
  <si>
    <t xml:space="preserve">KPI-01 to KPI-05</t>
  </si>
  <si>
    <t xml:space="preserve">dispute_amount</t>
  </si>
  <si>
    <t xml:space="preserve">Original disputed amount in USD.</t>
  </si>
  <si>
    <t xml:space="preserve">Decimal (12,2)</t>
  </si>
  <si>
    <t xml:space="preserve">125.00</t>
  </si>
  <si>
    <t xml:space="preserve">Greater than 0</t>
  </si>
  <si>
    <t xml:space="preserve">Confidential</t>
  </si>
  <si>
    <t xml:space="preserve">recovered_amount</t>
  </si>
  <si>
    <t xml:space="preserve">Amount returned to the merchant when the dispute closed.</t>
  </si>
  <si>
    <t xml:space="preserve">60.00</t>
  </si>
  <si>
    <t xml:space="preserve">Processor dispute API; settlement reversals</t>
  </si>
  <si>
    <t xml:space="preserve">Between 0 and dispute_amount; required when outcome is set</t>
  </si>
  <si>
    <t xml:space="preserve">internal_status</t>
  </si>
  <si>
    <t xml:space="preserve">Normalized dispute status (see Outcome Definitions tab).</t>
  </si>
  <si>
    <t xml:space="preserve">Enum</t>
  </si>
  <si>
    <t xml:space="preserve">Hub status normalization (US-020)</t>
  </si>
  <si>
    <t xml:space="preserve">Must be a valid internal status</t>
  </si>
  <si>
    <t xml:space="preserve">KPI-03, KPI-04</t>
  </si>
  <si>
    <t xml:space="preserve">outcome</t>
  </si>
  <si>
    <t xml:space="preserve">Final outcome for a closed dispute.</t>
  </si>
  <si>
    <t xml:space="preserve">Hub status normalization</t>
  </si>
  <si>
    <t xml:space="preserve">Exactly one value for every closed dispute (TC-043)</t>
  </si>
  <si>
    <t xml:space="preserve">KPI-01, KPI-02, KPI-04</t>
  </si>
  <si>
    <t xml:space="preserve">response_due_at</t>
  </si>
  <si>
    <t xml:space="preserve">Deadline for the merchant's response, from reason code reference data.</t>
  </si>
  <si>
    <t xml:space="preserve">Timestamp (UTC)</t>
  </si>
  <si>
    <t xml:space="preserve">2026-09-18T23:59:00Z</t>
  </si>
  <si>
    <t xml:space="preserve">Reference data (US-021)</t>
  </si>
  <si>
    <t xml:space="preserve">Not null for open disputes; after received_at</t>
  </si>
  <si>
    <t xml:space="preserve">responded_at</t>
  </si>
  <si>
    <t xml:space="preserve">Time evidence was submitted or the dispute was accepted.</t>
  </si>
  <si>
    <t xml:space="preserve">2026-09-15T14:02:00Z</t>
  </si>
  <si>
    <t xml:space="preserve">Hub submission records</t>
  </si>
  <si>
    <t xml:space="preserve">Null until responded; on or before closed_at</t>
  </si>
  <si>
    <t xml:space="preserve">closed_at</t>
  </si>
  <si>
    <t xml:space="preserve">Time the final outcome was recorded.</t>
  </si>
  <si>
    <t xml:space="preserve">2026-10-20T09:30:00Z</t>
  </si>
  <si>
    <t xml:space="preserve">Processor status events</t>
  </si>
  <si>
    <t xml:space="preserve">Required when outcome is set</t>
  </si>
  <si>
    <t xml:space="preserve">processor_event_at</t>
  </si>
  <si>
    <t xml:space="preserve">Status event</t>
  </si>
  <si>
    <t xml:space="preserve">Time the processor recorded a status change.</t>
  </si>
  <si>
    <t xml:space="preserve">2026-09-16T10:00:00Z</t>
  </si>
  <si>
    <t xml:space="preserve">Processor webhook payload</t>
  </si>
  <si>
    <t xml:space="preserve">Not null</t>
  </si>
  <si>
    <t xml:space="preserve">hub_updated_at</t>
  </si>
  <si>
    <t xml:space="preserve">Time the hub applied the status change.</t>
  </si>
  <si>
    <t xml:space="preserve">2026-09-16T10:02:40Z</t>
  </si>
  <si>
    <t xml:space="preserve">Hub event log</t>
  </si>
  <si>
    <t xml:space="preserve">On or after processor_event_at</t>
  </si>
  <si>
    <t xml:space="preserve">response_channel</t>
  </si>
  <si>
    <t xml:space="preserve">Evidence package</t>
  </si>
  <si>
    <t xml:space="preserve">How the evidence was submitted.</t>
  </si>
  <si>
    <t xml:space="preserve">Enum (Portal, Email)</t>
  </si>
  <si>
    <t xml:space="preserve">Portal</t>
  </si>
  <si>
    <t xml:space="preserve">Hub submission records; ops email intake log</t>
  </si>
  <si>
    <t xml:space="preserve">Required for every evidence package</t>
  </si>
  <si>
    <t xml:space="preserve">ops_assigned_at / ops_resolved_at</t>
  </si>
  <si>
    <t xml:space="preserve">Ops work item</t>
  </si>
  <si>
    <t xml:space="preserve">Times an analyst picked up and resolved a dispute in the work queue.</t>
  </si>
  <si>
    <t xml:space="preserve">2026-09-16T09:12:00Z</t>
  </si>
  <si>
    <t xml:space="preserve">Ops work queue (US-035)</t>
  </si>
  <si>
    <t xml:space="preserve">Resolved time on or after assigned time</t>
  </si>
  <si>
    <t xml:space="preserve">net_payout_amount</t>
  </si>
  <si>
    <t xml:space="preserve">Settlement</t>
  </si>
  <si>
    <t xml:space="preserve">Net amount paid to the merchant for a payout date.</t>
  </si>
  <si>
    <t xml:space="preserve">Decimal (14,2)</t>
  </si>
  <si>
    <t xml:space="preserve">18,430.55</t>
  </si>
  <si>
    <t xml:space="preserve">Settlement pipeline (D-04)</t>
  </si>
  <si>
    <t xml:space="preserve">Passes data quality rules (US-033)</t>
  </si>
  <si>
    <t xml:space="preserve">ledger_amount</t>
  </si>
  <si>
    <t xml:space="preserve">Finance ledger extract</t>
  </si>
  <si>
    <t xml:space="preserve">Payout amount recorded in the finance ledger.</t>
  </si>
  <si>
    <t xml:space="preserve">Finance ledger</t>
  </si>
  <si>
    <t xml:space="preserve">Extract complete for the month before reconciliation</t>
  </si>
  <si>
    <t xml:space="preserve">event_name</t>
  </si>
  <si>
    <t xml:space="preserve">Analytics event</t>
  </si>
  <si>
    <t xml:space="preserve">Name of the tracked portal action.</t>
  </si>
  <si>
    <t xml:space="preserve">evidence_upload_started</t>
  </si>
  <si>
    <t xml:space="preserve">Must be in the approved tracking plan (I-06)</t>
  </si>
  <si>
    <t xml:space="preserve">KPI-08 to KPI-11</t>
  </si>
  <si>
    <t xml:space="preserve">user_pseudo_id</t>
  </si>
  <si>
    <t xml:space="preserve">Pseudonymous user identifier; no names, emails or card data.</t>
  </si>
  <si>
    <t xml:space="preserve">Text (hashed)</t>
  </si>
  <si>
    <t xml:space="preserve">u_7f3a9c...</t>
  </si>
  <si>
    <t xml:space="preserve">Never contains personal data (CTL-04)</t>
  </si>
</sst>
</file>

<file path=xl/styles.xml><?xml version="1.0" encoding="utf-8"?>
<styleSheet xmlns="http://schemas.openxmlformats.org/spreadsheetml/2006/main">
  <numFmts count="7">
    <numFmt numFmtId="164" formatCode="General"/>
    <numFmt numFmtId="165" formatCode="dd\-mmm\-yyyy"/>
    <numFmt numFmtId="166" formatCode="General"/>
    <numFmt numFmtId="167" formatCode="0.0%"/>
    <numFmt numFmtId="168" formatCode="0%"/>
    <numFmt numFmtId="169" formatCode="0"/>
    <numFmt numFmtId="170" formatCode="0.0"/>
  </numFmts>
  <fonts count="24">
    <font>
      <sz val="11"/>
      <color theme="1"/>
      <name val="Calibri"/>
      <family val="2"/>
      <charset val="1"/>
    </font>
    <font>
      <sz val="10"/>
      <name val="Arial"/>
      <family val="0"/>
    </font>
    <font>
      <sz val="10"/>
      <name val="Arial"/>
      <family val="0"/>
    </font>
    <font>
      <sz val="10"/>
      <name val="Arial"/>
      <family val="0"/>
    </font>
    <font>
      <b val="true"/>
      <sz val="24"/>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8"/>
      <color rgb="FF1F3A5F"/>
      <name val="Arial"/>
      <family val="0"/>
      <charset val="1"/>
    </font>
    <font>
      <i val="true"/>
      <sz val="10"/>
      <color rgb="FF595959"/>
      <name val="Arial"/>
      <family val="0"/>
      <charset val="1"/>
    </font>
    <font>
      <b val="true"/>
      <sz val="14"/>
      <color rgb="FF1F3A5F"/>
      <name val="Arial"/>
      <family val="0"/>
      <charset val="1"/>
    </font>
    <font>
      <b val="true"/>
      <sz val="14"/>
      <color rgb="FF9C0006"/>
      <name val="Arial"/>
      <family val="0"/>
      <charset val="1"/>
    </font>
    <font>
      <b val="true"/>
      <sz val="18"/>
      <color rgb="FF000000"/>
      <name val="Calibri"/>
      <family val="2"/>
    </font>
    <font>
      <sz val="10"/>
      <color rgb="FF000000"/>
      <name val="Calibri"/>
      <family val="2"/>
    </font>
    <font>
      <b val="true"/>
      <sz val="16"/>
      <color rgb="FF1F3A5F"/>
      <name val="Arial"/>
      <family val="0"/>
      <charset val="1"/>
    </font>
    <font>
      <i val="true"/>
      <sz val="9"/>
      <color rgb="FF7F7F7F"/>
      <name val="Arial"/>
      <family val="0"/>
      <charset val="1"/>
    </font>
    <font>
      <b val="true"/>
      <sz val="10"/>
      <color rgb="FFFFFFFF"/>
      <name val="Arial"/>
      <family val="0"/>
      <charset val="1"/>
    </font>
    <font>
      <b val="true"/>
      <sz val="10"/>
      <color rgb="FF9C5700"/>
      <name val="Arial"/>
      <family val="0"/>
      <charset val="1"/>
    </font>
    <font>
      <b val="true"/>
      <sz val="10"/>
      <color rgb="FF0000FF"/>
      <name val="Arial"/>
      <family val="0"/>
      <charset val="1"/>
    </font>
    <font>
      <b val="true"/>
      <sz val="11"/>
      <color rgb="FF1F3A5F"/>
      <name val="Arial"/>
      <family val="0"/>
      <charset val="1"/>
    </font>
    <font>
      <i val="true"/>
      <sz val="10"/>
      <color rgb="FF000000"/>
      <name val="Arial"/>
      <family val="0"/>
      <charset val="1"/>
    </font>
  </fonts>
  <fills count="8">
    <fill>
      <patternFill patternType="none"/>
    </fill>
    <fill>
      <patternFill patternType="gray125"/>
    </fill>
    <fill>
      <patternFill patternType="solid">
        <fgColor rgb="FF1F3A5F"/>
        <bgColor rgb="FF1F4E78"/>
      </patternFill>
    </fill>
    <fill>
      <patternFill patternType="solid">
        <fgColor rgb="FFD9D9D9"/>
        <bgColor rgb="FFDDEBF7"/>
      </patternFill>
    </fill>
    <fill>
      <patternFill patternType="solid">
        <fgColor rgb="FFF2F2F2"/>
        <bgColor rgb="FFEDEDED"/>
      </patternFill>
    </fill>
    <fill>
      <patternFill patternType="solid">
        <fgColor rgb="FF2E7D8C"/>
        <bgColor rgb="FF008080"/>
      </patternFill>
    </fill>
    <fill>
      <patternFill patternType="solid">
        <fgColor rgb="FFFFF2CC"/>
        <bgColor rgb="FFF2F2F2"/>
      </patternFill>
    </fill>
    <fill>
      <patternFill patternType="solid">
        <fgColor rgb="FFFFEB9C"/>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5" fontId="7"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6" fontId="10" fillId="4" borderId="1" xfId="0" applyFont="true" applyBorder="true" applyAlignment="true" applyProtection="false">
      <alignment horizontal="center"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true" indent="0" shrinkToFit="false"/>
      <protection locked="true" hidden="false"/>
    </xf>
    <xf numFmtId="164" fontId="19" fillId="5" borderId="1" xfId="0" applyFont="true" applyBorder="true" applyAlignment="true" applyProtection="false">
      <alignment horizontal="center" vertical="center" textRotation="0" wrapText="true" indent="0" shrinkToFit="false"/>
      <protection locked="true" hidden="false"/>
    </xf>
    <xf numFmtId="167" fontId="7" fillId="0" borderId="1" xfId="0" applyFont="true" applyBorder="true" applyAlignment="true" applyProtection="false">
      <alignment horizontal="center" vertical="top" textRotation="0" wrapText="true" indent="0" shrinkToFit="false"/>
      <protection locked="true" hidden="false"/>
    </xf>
    <xf numFmtId="167" fontId="7" fillId="6"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center" vertical="top" textRotation="0" wrapText="true" indent="0" shrinkToFit="false"/>
      <protection locked="true" hidden="false"/>
    </xf>
    <xf numFmtId="168" fontId="7" fillId="4" borderId="1" xfId="0" applyFont="true" applyBorder="true" applyAlignment="true" applyProtection="false">
      <alignment horizontal="center" vertical="top" textRotation="0" wrapText="true" indent="0" shrinkToFit="false"/>
      <protection locked="true" hidden="false"/>
    </xf>
    <xf numFmtId="166" fontId="7" fillId="4" borderId="1" xfId="0" applyFont="true" applyBorder="true" applyAlignment="true" applyProtection="false">
      <alignment horizontal="center" vertical="top" textRotation="0" wrapText="true" indent="0" shrinkToFit="false"/>
      <protection locked="true" hidden="false"/>
    </xf>
    <xf numFmtId="169" fontId="7" fillId="0" borderId="1" xfId="0" applyFont="true" applyBorder="true" applyAlignment="true" applyProtection="false">
      <alignment horizontal="center" vertical="top" textRotation="0" wrapText="true" indent="0" shrinkToFit="false"/>
      <protection locked="true" hidden="false"/>
    </xf>
    <xf numFmtId="169" fontId="7" fillId="6" borderId="1" xfId="0" applyFont="true" applyBorder="true" applyAlignment="true" applyProtection="false">
      <alignment horizontal="center" vertical="top" textRotation="0" wrapText="true" indent="0" shrinkToFit="false"/>
      <protection locked="true" hidden="false"/>
    </xf>
    <xf numFmtId="170" fontId="7" fillId="0" borderId="1" xfId="0" applyFont="true" applyBorder="true" applyAlignment="true" applyProtection="false">
      <alignment horizontal="center" vertical="top" textRotation="0" wrapText="true" indent="0" shrinkToFit="false"/>
      <protection locked="true" hidden="false"/>
    </xf>
    <xf numFmtId="170" fontId="7" fillId="6" borderId="1" xfId="0" applyFont="true" applyBorder="true" applyAlignment="true" applyProtection="false">
      <alignment horizontal="center" vertical="top" textRotation="0" wrapText="true" indent="0" shrinkToFit="false"/>
      <protection locked="true" hidden="false"/>
    </xf>
    <xf numFmtId="164" fontId="20" fillId="7" borderId="0" xfId="0" applyFont="true" applyBorder="true" applyAlignment="true" applyProtection="false">
      <alignment horizontal="general" vertical="center" textRotation="0" wrapText="tru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21" fillId="6" borderId="1" xfId="0" applyFont="true" applyBorder="true" applyAlignment="true" applyProtection="false">
      <alignment horizontal="center" vertical="top" textRotation="0" wrapText="true" indent="0" shrinkToFit="false"/>
      <protection locked="true" hidden="false"/>
    </xf>
    <xf numFmtId="167" fontId="22" fillId="0" borderId="1" xfId="0" applyFont="true" applyBorder="true" applyAlignment="true" applyProtection="false">
      <alignment horizontal="center" vertical="top" textRotation="0" wrapText="true" indent="0" shrinkToFit="false"/>
      <protection locked="true" hidden="false"/>
    </xf>
    <xf numFmtId="164" fontId="2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ont>
        <name val="Arial"/>
        <charset val="1"/>
        <family val="0"/>
        <b val="1"/>
        <color rgb="FF006100"/>
        <sz val="10"/>
      </font>
      <fill>
        <patternFill>
          <bgColor rgb="FFC6EFCE"/>
        </patternFill>
      </fill>
    </dxf>
    <dxf>
      <font>
        <name val="Arial"/>
        <charset val="1"/>
        <family val="0"/>
        <b val="1"/>
        <color rgb="FF9C5700"/>
        <sz val="10"/>
      </font>
      <fill>
        <patternFill>
          <bgColor rgb="FFFFEB9C"/>
        </patternFill>
      </fill>
    </dxf>
    <dxf>
      <font>
        <name val="Arial"/>
        <charset val="1"/>
        <family val="0"/>
        <b val="1"/>
        <color rgb="FF9C0006"/>
        <sz val="10"/>
      </font>
      <fill>
        <patternFill>
          <bgColor rgb="FFFFC7CE"/>
        </patternFill>
      </fill>
    </dxf>
    <dxf>
      <font>
        <name val="Arial"/>
        <charset val="1"/>
        <family val="0"/>
        <b val="1"/>
        <color rgb="FF595959"/>
        <sz val="10"/>
      </font>
      <fill>
        <patternFill>
          <bgColor rgb="FFEDEDED"/>
        </patternFill>
      </fill>
    </dxf>
    <dxf>
      <font>
        <name val="Arial"/>
        <charset val="1"/>
        <family val="0"/>
        <b val="1"/>
        <color rgb="FF1F4E78"/>
        <sz val="10"/>
      </font>
      <fill>
        <patternFill>
          <bgColor rgb="FFDDEBF7"/>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2E7D8C"/>
          <bgColor rgb="FF000000"/>
        </patternFill>
      </fill>
    </dxf>
    <dxf>
      <fill>
        <patternFill patternType="solid">
          <fgColor rgb="FFEDEDED"/>
          <bgColor rgb="FF000000"/>
        </patternFill>
      </fill>
    </dxf>
    <dxf>
      <fill>
        <patternFill patternType="solid">
          <fgColor rgb="FFF2F2F2"/>
          <bgColor rgb="FF000000"/>
        </patternFill>
      </fill>
    </dxf>
    <dxf>
      <fill>
        <patternFill patternType="solid">
          <fgColor rgb="FF595959"/>
          <bgColor rgb="FF000000"/>
        </patternFill>
      </fill>
    </dxf>
    <dxf>
      <fill>
        <patternFill patternType="solid">
          <fgColor rgb="FFC6EFCE"/>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9C0006"/>
          <bgColor rgb="FF000000"/>
        </patternFill>
      </fill>
    </dxf>
    <dxf>
      <fill>
        <patternFill patternType="solid">
          <fgColor rgb="FF9C5700"/>
          <bgColor rgb="FF000000"/>
        </patternFill>
      </fill>
    </dxf>
    <dxf>
      <fill>
        <patternFill patternType="solid">
          <fgColor rgb="FFDDEBF7"/>
          <bgColor rgb="FF000000"/>
        </patternFill>
      </fill>
    </dxf>
    <dxf>
      <fill>
        <patternFill patternType="solid">
          <fgColor rgb="FF1F4E78"/>
          <bgColor rgb="FF000000"/>
        </patternFill>
      </fill>
    </dxf>
  </dxfs>
  <colors>
    <indexedColors>
      <rgbColor rgb="FF000000"/>
      <rgbColor rgb="FFFFFFFF"/>
      <rgbColor rgb="FFC0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5B9BD5"/>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DEDED"/>
      <rgbColor rgb="FFFF99CC"/>
      <rgbColor rgb="FFCC99FF"/>
      <rgbColor rgb="FFFFC7CE"/>
      <rgbColor rgb="FF3366FF"/>
      <rgbColor rgb="FF33CCCC"/>
      <rgbColor rgb="FF70AD47"/>
      <rgbColor rgb="FFFFC000"/>
      <rgbColor rgb="FFFF9900"/>
      <rgbColor rgb="FFFF6600"/>
      <rgbColor rgb="FF595959"/>
      <rgbColor rgb="FF878787"/>
      <rgbColor rgb="FF1F3A5F"/>
      <rgbColor rgb="FF2E7D8C"/>
      <rgbColor rgb="FF003300"/>
      <rgbColor rgb="FF333300"/>
      <rgbColor rgb="FF9C57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Readiness by tier</a:t>
            </a:r>
          </a:p>
        </c:rich>
      </c:tx>
      <c:overlay val="0"/>
      <c:spPr>
        <a:noFill/>
        <a:ln w="0">
          <a:noFill/>
        </a:ln>
      </c:spPr>
    </c:title>
    <c:autoTitleDeleted val="0"/>
    <c:plotArea>
      <c:barChart>
        <c:barDir val="bar"/>
        <c:grouping val="stacked"/>
        <c:varyColors val="0"/>
        <c:ser>
          <c:idx val="0"/>
          <c:order val="0"/>
          <c:tx>
            <c:strRef>
              <c:f>Dashboard!F10</c:f>
              <c:strCache>
                <c:ptCount val="1"/>
                <c:pt idx="0">
                  <c:v>Ready</c:v>
                </c:pt>
              </c:strCache>
            </c:strRef>
          </c:tx>
          <c:spPr>
            <a:solidFill>
              <a:srgbClr val="70ad47"/>
            </a:solidFill>
            <a:ln w="0">
              <a:solidFill>
                <a:srgbClr val="70ad47"/>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Dashboard!$B$11:$B$14</c:f>
              <c:strCache>
                <c:ptCount val="4"/>
                <c:pt idx="0">
                  <c:v>North Star</c:v>
                </c:pt>
                <c:pt idx="1">
                  <c:v>Outcome</c:v>
                </c:pt>
                <c:pt idx="2">
                  <c:v>Leading</c:v>
                </c:pt>
                <c:pt idx="3">
                  <c:v>Guardrail</c:v>
                </c:pt>
              </c:strCache>
            </c:strRef>
          </c:cat>
          <c:val>
            <c:numRef>
              <c:f>Dashboard!$F$11:$F$14</c:f>
              <c:numCache>
                <c:formatCode>General</c:formatCode>
                <c:ptCount val="4"/>
                <c:pt idx="0">
                  <c:v>0</c:v>
                </c:pt>
                <c:pt idx="1">
                  <c:v>1</c:v>
                </c:pt>
                <c:pt idx="2">
                  <c:v>0</c:v>
                </c:pt>
                <c:pt idx="3">
                  <c:v>0</c:v>
                </c:pt>
              </c:numCache>
            </c:numRef>
          </c:val>
        </c:ser>
        <c:ser>
          <c:idx val="1"/>
          <c:order val="1"/>
          <c:tx>
            <c:strRef>
              <c:f>Dashboard!G10</c:f>
              <c:strCache>
                <c:ptCount val="1"/>
                <c:pt idx="0">
                  <c:v>In progress</c:v>
                </c:pt>
              </c:strCache>
            </c:strRef>
          </c:tx>
          <c:spPr>
            <a:solidFill>
              <a:srgbClr val="5b9bd5"/>
            </a:solidFill>
            <a:ln w="0">
              <a:solidFill>
                <a:srgbClr val="5b9bd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Dashboard!$B$11:$B$14</c:f>
              <c:strCache>
                <c:ptCount val="4"/>
                <c:pt idx="0">
                  <c:v>North Star</c:v>
                </c:pt>
                <c:pt idx="1">
                  <c:v>Outcome</c:v>
                </c:pt>
                <c:pt idx="2">
                  <c:v>Leading</c:v>
                </c:pt>
                <c:pt idx="3">
                  <c:v>Guardrail</c:v>
                </c:pt>
              </c:strCache>
            </c:strRef>
          </c:cat>
          <c:val>
            <c:numRef>
              <c:f>Dashboard!$G$11:$G$14</c:f>
              <c:numCache>
                <c:formatCode>General</c:formatCode>
                <c:ptCount val="4"/>
                <c:pt idx="0">
                  <c:v>0</c:v>
                </c:pt>
                <c:pt idx="1">
                  <c:v>3</c:v>
                </c:pt>
                <c:pt idx="2">
                  <c:v>0</c:v>
                </c:pt>
                <c:pt idx="3">
                  <c:v>6</c:v>
                </c:pt>
              </c:numCache>
            </c:numRef>
          </c:val>
        </c:ser>
        <c:ser>
          <c:idx val="2"/>
          <c:order val="2"/>
          <c:tx>
            <c:strRef>
              <c:f>Dashboard!H10</c:f>
              <c:strCache>
                <c:ptCount val="1"/>
                <c:pt idx="0">
                  <c:v>Needs approval</c:v>
                </c:pt>
              </c:strCache>
            </c:strRef>
          </c:tx>
          <c:spPr>
            <a:solidFill>
              <a:srgbClr val="ffc000"/>
            </a:solidFill>
            <a:ln w="0">
              <a:solidFill>
                <a:srgbClr val="ffc0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Dashboard!$B$11:$B$14</c:f>
              <c:strCache>
                <c:ptCount val="4"/>
                <c:pt idx="0">
                  <c:v>North Star</c:v>
                </c:pt>
                <c:pt idx="1">
                  <c:v>Outcome</c:v>
                </c:pt>
                <c:pt idx="2">
                  <c:v>Leading</c:v>
                </c:pt>
                <c:pt idx="3">
                  <c:v>Guardrail</c:v>
                </c:pt>
              </c:strCache>
            </c:strRef>
          </c:cat>
          <c:val>
            <c:numRef>
              <c:f>Dashboard!$H$11:$H$14</c:f>
              <c:numCache>
                <c:formatCode>General</c:formatCode>
                <c:ptCount val="4"/>
                <c:pt idx="0">
                  <c:v>0</c:v>
                </c:pt>
                <c:pt idx="1">
                  <c:v>3</c:v>
                </c:pt>
                <c:pt idx="2">
                  <c:v>1</c:v>
                </c:pt>
                <c:pt idx="3">
                  <c:v>1</c:v>
                </c:pt>
              </c:numCache>
            </c:numRef>
          </c:val>
        </c:ser>
        <c:ser>
          <c:idx val="3"/>
          <c:order val="3"/>
          <c:tx>
            <c:strRef>
              <c:f>Dashboard!I10</c:f>
              <c:strCache>
                <c:ptCount val="1"/>
                <c:pt idx="0">
                  <c:v>At risk</c:v>
                </c:pt>
              </c:strCache>
            </c:strRef>
          </c:tx>
          <c:spPr>
            <a:solidFill>
              <a:srgbClr val="c00000"/>
            </a:solidFill>
            <a:ln w="0">
              <a:solidFill>
                <a:srgbClr val="c000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Dashboard!$B$11:$B$14</c:f>
              <c:strCache>
                <c:ptCount val="4"/>
                <c:pt idx="0">
                  <c:v>North Star</c:v>
                </c:pt>
                <c:pt idx="1">
                  <c:v>Outcome</c:v>
                </c:pt>
                <c:pt idx="2">
                  <c:v>Leading</c:v>
                </c:pt>
                <c:pt idx="3">
                  <c:v>Guardrail</c:v>
                </c:pt>
              </c:strCache>
            </c:strRef>
          </c:cat>
          <c:val>
            <c:numRef>
              <c:f>Dashboard!$I$11:$I$14</c:f>
              <c:numCache>
                <c:formatCode>General</c:formatCode>
                <c:ptCount val="4"/>
                <c:pt idx="0">
                  <c:v>1</c:v>
                </c:pt>
                <c:pt idx="1">
                  <c:v>1</c:v>
                </c:pt>
                <c:pt idx="2">
                  <c:v>4</c:v>
                </c:pt>
                <c:pt idx="3">
                  <c:v>0</c:v>
                </c:pt>
              </c:numCache>
            </c:numRef>
          </c:val>
        </c:ser>
        <c:gapWidth val="150"/>
        <c:overlap val="100"/>
        <c:axId val="14843457"/>
        <c:axId val="35116178"/>
      </c:barChart>
      <c:catAx>
        <c:axId val="1484345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116178"/>
        <c:crosses val="autoZero"/>
        <c:auto val="1"/>
        <c:lblAlgn val="ctr"/>
        <c:lblOffset val="100"/>
        <c:noMultiLvlLbl val="0"/>
      </c:catAx>
      <c:valAx>
        <c:axId val="35116178"/>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84345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15</xdr:row>
      <xdr:rowOff>101160</xdr:rowOff>
    </xdr:from>
    <xdr:to>
      <xdr:col>9</xdr:col>
      <xdr:colOff>377640</xdr:colOff>
      <xdr:row>26</xdr:row>
      <xdr:rowOff>165240</xdr:rowOff>
    </xdr:to>
    <xdr:graphicFrame>
      <xdr:nvGraphicFramePr>
        <xdr:cNvPr id="0" name="Chart 1"/>
        <xdr:cNvGraphicFramePr/>
      </xdr:nvGraphicFramePr>
      <xdr:xfrm>
        <a:off x="211320" y="3772080"/>
        <a:ext cx="791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7" min="3" style="0" width="20"/>
  </cols>
  <sheetData>
    <row r="2" customFormat="false" ht="29.15" hidden="false" customHeight="false" outlineLevel="0" collapsed="false">
      <c r="B2" s="1" t="s">
        <v>0</v>
      </c>
    </row>
    <row r="3" customFormat="false" ht="17.35" hidden="false" customHeight="false" outlineLevel="0" collapsed="false">
      <c r="B3" s="2" t="s">
        <v>1</v>
      </c>
    </row>
    <row r="5" customFormat="false" ht="15"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true" outlineLevel="0" collapsed="false">
      <c r="B8" s="3" t="s">
        <v>7</v>
      </c>
      <c r="C8" s="4" t="s">
        <v>8</v>
      </c>
      <c r="D8" s="4"/>
      <c r="E8" s="4"/>
      <c r="F8" s="4"/>
      <c r="G8" s="4"/>
    </row>
    <row r="9" customFormat="false" ht="30" hidden="false" customHeight="true" outlineLevel="0" collapsed="false">
      <c r="B9" s="3" t="s">
        <v>9</v>
      </c>
      <c r="C9" s="4" t="s">
        <v>10</v>
      </c>
      <c r="D9" s="4"/>
      <c r="E9" s="4"/>
      <c r="F9" s="4"/>
      <c r="G9" s="4"/>
    </row>
    <row r="10" customFormat="false" ht="30" hidden="false" customHeight="true" outlineLevel="0" collapsed="false">
      <c r="B10" s="3" t="s">
        <v>11</v>
      </c>
      <c r="C10" s="4" t="s">
        <v>12</v>
      </c>
      <c r="D10" s="4"/>
      <c r="E10" s="4"/>
      <c r="F10" s="4"/>
      <c r="G10" s="4"/>
    </row>
    <row r="11" customFormat="false" ht="30" hidden="false" customHeight="true" outlineLevel="0" collapsed="false">
      <c r="B11" s="3" t="s">
        <v>13</v>
      </c>
      <c r="C11" s="6" t="s">
        <v>14</v>
      </c>
      <c r="D11" s="6"/>
      <c r="E11" s="6"/>
      <c r="F11" s="6"/>
      <c r="G11" s="6"/>
    </row>
    <row r="13" customFormat="false" ht="19.5" hidden="false" customHeight="true" outlineLevel="0" collapsed="false">
      <c r="B13" s="7" t="s">
        <v>15</v>
      </c>
      <c r="C13" s="8"/>
      <c r="D13" s="8"/>
      <c r="E13" s="8"/>
      <c r="F13" s="8"/>
      <c r="G13" s="8"/>
    </row>
    <row r="14" customFormat="false" ht="43.5" hidden="false" customHeight="true" outlineLevel="0" collapsed="false">
      <c r="B14" s="9" t="s">
        <v>16</v>
      </c>
      <c r="C14" s="9"/>
      <c r="D14" s="9"/>
      <c r="E14" s="9"/>
      <c r="F14" s="9"/>
      <c r="G14" s="9"/>
    </row>
    <row r="16" customFormat="false" ht="19.5" hidden="false" customHeight="true" outlineLevel="0" collapsed="false">
      <c r="B16" s="7" t="s">
        <v>17</v>
      </c>
      <c r="C16" s="8"/>
      <c r="D16" s="8"/>
      <c r="E16" s="8"/>
      <c r="F16" s="8"/>
      <c r="G16" s="8"/>
    </row>
    <row r="17" customFormat="false" ht="15" hidden="false" customHeight="true" outlineLevel="0" collapsed="false">
      <c r="B17" s="10" t="s">
        <v>18</v>
      </c>
      <c r="C17" s="10" t="s">
        <v>15</v>
      </c>
      <c r="D17" s="10"/>
      <c r="E17" s="10"/>
      <c r="F17" s="10"/>
      <c r="G17" s="10"/>
    </row>
    <row r="18" customFormat="false" ht="31.5" hidden="false" customHeight="true" outlineLevel="0" collapsed="false">
      <c r="B18" s="11" t="s">
        <v>19</v>
      </c>
      <c r="C18" s="12" t="s">
        <v>20</v>
      </c>
      <c r="D18" s="12"/>
      <c r="E18" s="12"/>
      <c r="F18" s="12"/>
      <c r="G18" s="12"/>
    </row>
    <row r="19" customFormat="false" ht="31.5" hidden="false" customHeight="true" outlineLevel="0" collapsed="false">
      <c r="B19" s="11" t="s">
        <v>21</v>
      </c>
      <c r="C19" s="12" t="s">
        <v>22</v>
      </c>
      <c r="D19" s="12"/>
      <c r="E19" s="12"/>
      <c r="F19" s="12"/>
      <c r="G19" s="12"/>
    </row>
    <row r="20" customFormat="false" ht="31.5" hidden="false" customHeight="true" outlineLevel="0" collapsed="false">
      <c r="B20" s="11" t="s">
        <v>23</v>
      </c>
      <c r="C20" s="12" t="s">
        <v>24</v>
      </c>
      <c r="D20" s="12"/>
      <c r="E20" s="12"/>
      <c r="F20" s="12"/>
      <c r="G20" s="12"/>
    </row>
    <row r="21" customFormat="false" ht="31.5" hidden="false" customHeight="true" outlineLevel="0" collapsed="false">
      <c r="B21" s="11" t="s">
        <v>25</v>
      </c>
      <c r="C21" s="12" t="s">
        <v>26</v>
      </c>
      <c r="D21" s="12"/>
      <c r="E21" s="12"/>
      <c r="F21" s="12"/>
      <c r="G21" s="12"/>
    </row>
    <row r="23" customFormat="false" ht="19.5" hidden="false" customHeight="true" outlineLevel="0" collapsed="false">
      <c r="B23" s="7" t="s">
        <v>27</v>
      </c>
      <c r="C23" s="8"/>
      <c r="D23" s="8"/>
      <c r="E23" s="8"/>
      <c r="F23" s="8"/>
      <c r="G23" s="8"/>
    </row>
    <row r="24" customFormat="false" ht="18" hidden="false" customHeight="true" outlineLevel="0" collapsed="false">
      <c r="B24" s="9" t="s">
        <v>28</v>
      </c>
      <c r="C24" s="9"/>
      <c r="D24" s="9"/>
      <c r="E24" s="9"/>
      <c r="F24" s="9"/>
      <c r="G24" s="9"/>
    </row>
    <row r="25" customFormat="false" ht="30" hidden="false" customHeight="true" outlineLevel="0" collapsed="false">
      <c r="B25" s="9" t="s">
        <v>29</v>
      </c>
      <c r="C25" s="9"/>
      <c r="D25" s="9"/>
      <c r="E25" s="9"/>
      <c r="F25" s="9"/>
      <c r="G25" s="9"/>
    </row>
    <row r="26" customFormat="false" ht="18" hidden="false" customHeight="true" outlineLevel="0" collapsed="false">
      <c r="B26" s="9" t="s">
        <v>30</v>
      </c>
      <c r="C26" s="9"/>
      <c r="D26" s="9"/>
      <c r="E26" s="9"/>
      <c r="F26" s="9"/>
      <c r="G26" s="9"/>
    </row>
    <row r="27" customFormat="false" ht="18" hidden="false" customHeight="true" outlineLevel="0" collapsed="false">
      <c r="B27" s="9" t="s">
        <v>31</v>
      </c>
      <c r="C27" s="9"/>
      <c r="D27" s="9"/>
      <c r="E27" s="9"/>
      <c r="F27" s="9"/>
      <c r="G27" s="9"/>
    </row>
    <row r="28" customFormat="false" ht="30" hidden="false" customHeight="true" outlineLevel="0" collapsed="false">
      <c r="B28" s="9" t="s">
        <v>32</v>
      </c>
      <c r="C28" s="9"/>
      <c r="D28" s="9"/>
      <c r="E28" s="9"/>
      <c r="F28" s="9"/>
      <c r="G28" s="9"/>
    </row>
    <row r="29" customFormat="false" ht="18" hidden="false" customHeight="true" outlineLevel="0" collapsed="false">
      <c r="B29" s="9" t="s">
        <v>33</v>
      </c>
      <c r="C29" s="9"/>
      <c r="D29" s="9"/>
      <c r="E29" s="9"/>
      <c r="F29" s="9"/>
      <c r="G29" s="9"/>
    </row>
    <row r="31" customFormat="false" ht="19.5" hidden="false" customHeight="true" outlineLevel="0" collapsed="false">
      <c r="B31" s="7" t="s">
        <v>34</v>
      </c>
      <c r="C31" s="8"/>
      <c r="D31" s="8"/>
      <c r="E31" s="8"/>
      <c r="F31" s="8"/>
      <c r="G31" s="8"/>
    </row>
    <row r="32" customFormat="false" ht="15" hidden="false" customHeight="true" outlineLevel="0" collapsed="false">
      <c r="B32" s="10" t="s">
        <v>35</v>
      </c>
      <c r="C32" s="10" t="s">
        <v>36</v>
      </c>
      <c r="D32" s="10"/>
      <c r="E32" s="10"/>
      <c r="F32" s="10"/>
      <c r="G32" s="10"/>
    </row>
    <row r="33" customFormat="false" ht="31.5" hidden="false" customHeight="true" outlineLevel="0" collapsed="false">
      <c r="B33" s="11" t="s">
        <v>37</v>
      </c>
      <c r="C33" s="12" t="s">
        <v>38</v>
      </c>
      <c r="D33" s="12"/>
      <c r="E33" s="12"/>
      <c r="F33" s="12"/>
      <c r="G33" s="12"/>
    </row>
    <row r="34" customFormat="false" ht="18" hidden="false" customHeight="true" outlineLevel="0" collapsed="false">
      <c r="B34" s="11" t="s">
        <v>39</v>
      </c>
      <c r="C34" s="12" t="s">
        <v>40</v>
      </c>
      <c r="D34" s="12"/>
      <c r="E34" s="12"/>
      <c r="F34" s="12"/>
      <c r="G34" s="12"/>
    </row>
    <row r="35" customFormat="false" ht="31.5" hidden="false" customHeight="true" outlineLevel="0" collapsed="false">
      <c r="B35" s="11" t="s">
        <v>41</v>
      </c>
      <c r="C35" s="12" t="s">
        <v>42</v>
      </c>
      <c r="D35" s="12"/>
      <c r="E35" s="12"/>
      <c r="F35" s="12"/>
      <c r="G35" s="12"/>
    </row>
    <row r="36" customFormat="false" ht="31.5" hidden="false" customHeight="true" outlineLevel="0" collapsed="false">
      <c r="B36" s="11" t="s">
        <v>43</v>
      </c>
      <c r="C36" s="12" t="s">
        <v>44</v>
      </c>
      <c r="D36" s="12"/>
      <c r="E36" s="12"/>
      <c r="F36" s="12"/>
      <c r="G36" s="12"/>
    </row>
    <row r="38" customFormat="false" ht="19.5" hidden="false" customHeight="true" outlineLevel="0" collapsed="false">
      <c r="B38" s="7" t="s">
        <v>45</v>
      </c>
      <c r="C38" s="8"/>
      <c r="D38" s="8"/>
      <c r="E38" s="8"/>
      <c r="F38" s="8"/>
      <c r="G38" s="8"/>
    </row>
    <row r="39" customFormat="false" ht="18" hidden="false" customHeight="true" outlineLevel="0" collapsed="false">
      <c r="B39" s="9" t="s">
        <v>46</v>
      </c>
      <c r="C39" s="9"/>
      <c r="D39" s="9"/>
      <c r="E39" s="9"/>
      <c r="F39" s="9"/>
      <c r="G39" s="9"/>
    </row>
    <row r="40" customFormat="false" ht="18" hidden="false" customHeight="true" outlineLevel="0" collapsed="false">
      <c r="B40" s="9" t="s">
        <v>47</v>
      </c>
      <c r="C40" s="9"/>
      <c r="D40" s="9"/>
      <c r="E40" s="9"/>
      <c r="F40" s="9"/>
      <c r="G40" s="9"/>
    </row>
    <row r="41" customFormat="false" ht="18" hidden="false" customHeight="true" outlineLevel="0" collapsed="false">
      <c r="B41" s="9" t="s">
        <v>48</v>
      </c>
      <c r="C41" s="9"/>
      <c r="D41" s="9"/>
      <c r="E41" s="9"/>
      <c r="F41" s="9"/>
      <c r="G41" s="9"/>
    </row>
    <row r="42" customFormat="false" ht="18" hidden="false" customHeight="true" outlineLevel="0" collapsed="false">
      <c r="B42" s="9" t="s">
        <v>49</v>
      </c>
      <c r="C42" s="9"/>
      <c r="D42" s="9"/>
      <c r="E42" s="9"/>
      <c r="F42" s="9"/>
      <c r="G42" s="9"/>
    </row>
    <row r="43" customFormat="false" ht="18" hidden="false" customHeight="true" outlineLevel="0" collapsed="false">
      <c r="B43" s="9" t="s">
        <v>50</v>
      </c>
      <c r="C43" s="9"/>
      <c r="D43" s="9"/>
      <c r="E43" s="9"/>
      <c r="F43" s="9"/>
      <c r="G43" s="9"/>
    </row>
    <row r="45" customFormat="false" ht="19.5" hidden="false" customHeight="true" outlineLevel="0" collapsed="false">
      <c r="B45" s="7" t="s">
        <v>51</v>
      </c>
      <c r="C45" s="8"/>
      <c r="D45" s="8"/>
      <c r="E45" s="8"/>
      <c r="F45" s="8"/>
      <c r="G45" s="8"/>
    </row>
    <row r="46" customFormat="false" ht="15" hidden="false" customHeight="true" outlineLevel="0" collapsed="false">
      <c r="B46" s="10" t="s">
        <v>4</v>
      </c>
      <c r="C46" s="10" t="s">
        <v>52</v>
      </c>
      <c r="D46" s="10" t="s">
        <v>53</v>
      </c>
      <c r="E46" s="10" t="s">
        <v>54</v>
      </c>
      <c r="F46" s="10"/>
      <c r="G46" s="10"/>
    </row>
    <row r="47" customFormat="false" ht="43.5" hidden="false" customHeight="true" outlineLevel="0" collapsed="false">
      <c r="B47" s="13" t="s">
        <v>55</v>
      </c>
      <c r="C47" s="14" t="n">
        <v>46275</v>
      </c>
      <c r="D47" s="13" t="s">
        <v>56</v>
      </c>
      <c r="E47" s="12" t="s">
        <v>57</v>
      </c>
      <c r="F47" s="12"/>
      <c r="G47" s="12"/>
    </row>
    <row r="48" customFormat="false" ht="43.5" hidden="false" customHeight="true" outlineLevel="0" collapsed="false">
      <c r="B48" s="13" t="s">
        <v>5</v>
      </c>
      <c r="C48" s="14" t="n">
        <v>46276</v>
      </c>
      <c r="D48" s="13" t="s">
        <v>56</v>
      </c>
      <c r="E48" s="12" t="s">
        <v>58</v>
      </c>
      <c r="F48" s="12"/>
      <c r="G48" s="12"/>
    </row>
  </sheetData>
  <mergeCells count="32">
    <mergeCell ref="C5:G5"/>
    <mergeCell ref="C6:G6"/>
    <mergeCell ref="C7:G7"/>
    <mergeCell ref="C8:G8"/>
    <mergeCell ref="C9:G9"/>
    <mergeCell ref="C10:G10"/>
    <mergeCell ref="C11:G11"/>
    <mergeCell ref="B14:G14"/>
    <mergeCell ref="C17:G17"/>
    <mergeCell ref="C18:G18"/>
    <mergeCell ref="C19:G19"/>
    <mergeCell ref="C20:G20"/>
    <mergeCell ref="C21:G21"/>
    <mergeCell ref="B24:G24"/>
    <mergeCell ref="B25:G25"/>
    <mergeCell ref="B26:G26"/>
    <mergeCell ref="B27:G27"/>
    <mergeCell ref="B28:G28"/>
    <mergeCell ref="B29:G29"/>
    <mergeCell ref="C32:G32"/>
    <mergeCell ref="C33:G33"/>
    <mergeCell ref="C34:G34"/>
    <mergeCell ref="C35:G35"/>
    <mergeCell ref="C36:G36"/>
    <mergeCell ref="B39:G39"/>
    <mergeCell ref="B40:G40"/>
    <mergeCell ref="B41:G41"/>
    <mergeCell ref="B42:G42"/>
    <mergeCell ref="B43:G43"/>
    <mergeCell ref="E46:G46"/>
    <mergeCell ref="E47:G47"/>
    <mergeCell ref="E48:G4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
    <col collapsed="false" customWidth="true" hidden="false" outlineLevel="0" max="3" min="3" style="0" width="11"/>
    <col collapsed="false" customWidth="true" hidden="false" outlineLevel="0" max="4" min="4" style="0" width="30"/>
    <col collapsed="false" customWidth="true" hidden="false" outlineLevel="0" max="8" min="5" style="0" width="11"/>
    <col collapsed="false" customWidth="true" hidden="false" outlineLevel="0" max="9" min="9" style="0" width="13"/>
    <col collapsed="false" customWidth="true" hidden="false" outlineLevel="0" max="10" min="10" style="0" width="16"/>
  </cols>
  <sheetData>
    <row r="1" customFormat="false" ht="22.05" hidden="false" customHeight="false" outlineLevel="0" collapsed="false">
      <c r="B1" s="15" t="s">
        <v>59</v>
      </c>
    </row>
    <row r="2" customFormat="false" ht="15" hidden="false" customHeight="false" outlineLevel="0" collapsed="false">
      <c r="B2" s="16" t="s">
        <v>60</v>
      </c>
    </row>
    <row r="3" customFormat="false" ht="15" hidden="false" customHeight="false" outlineLevel="0" collapsed="false">
      <c r="B3" s="17" t="str">
        <f aca="false">"Reporting date: "&amp;TEXT(Cover!$C$7,"DD-MMM-YYYY")</f>
        <v>Reporting date: 10-Sep-2026</v>
      </c>
    </row>
    <row r="5" customFormat="false" ht="19.5" hidden="false" customHeight="true" outlineLevel="0" collapsed="false">
      <c r="B5" s="7" t="s">
        <v>61</v>
      </c>
      <c r="C5" s="8"/>
      <c r="D5" s="8"/>
      <c r="E5" s="8"/>
      <c r="F5" s="8"/>
      <c r="G5" s="8"/>
      <c r="H5" s="8"/>
      <c r="I5" s="8"/>
      <c r="J5" s="8"/>
    </row>
    <row r="6" customFormat="false" ht="31.5" hidden="false" customHeight="true" outlineLevel="0" collapsed="false">
      <c r="B6" s="10" t="s">
        <v>62</v>
      </c>
      <c r="C6" s="10"/>
      <c r="D6" s="10"/>
      <c r="E6" s="10" t="s">
        <v>63</v>
      </c>
      <c r="F6" s="10" t="s">
        <v>64</v>
      </c>
      <c r="G6" s="10" t="s">
        <v>65</v>
      </c>
      <c r="H6" s="10" t="s">
        <v>66</v>
      </c>
      <c r="I6" s="10" t="s">
        <v>67</v>
      </c>
      <c r="J6" s="10" t="s">
        <v>68</v>
      </c>
    </row>
    <row r="7" customFormat="false" ht="30" hidden="false" customHeight="true" outlineLevel="0" collapsed="false">
      <c r="B7" s="18" t="n">
        <f aca="false">COUNTA('KPI Catalog'!$A$5:$A$54)</f>
        <v>21</v>
      </c>
      <c r="C7" s="18"/>
      <c r="D7" s="18"/>
      <c r="E7" s="18" t="n">
        <f aca="false">COUNTIFS('KPI Catalog'!$U$5:$U$54,"Approved")</f>
        <v>12</v>
      </c>
      <c r="F7" s="18" t="n">
        <f aca="false">COUNTIFS('KPI Catalog'!$U$5:$U$54,"Proposed")</f>
        <v>7</v>
      </c>
      <c r="G7" s="19" t="n">
        <f aca="false">COUNTIFS('KPI Catalog'!$U$5:$U$54,"Pending decision")</f>
        <v>2</v>
      </c>
      <c r="H7" s="18" t="n">
        <f aca="false">COUNTIFS('KPI Catalog'!$X$5:$X$54,"Ready")</f>
        <v>1</v>
      </c>
      <c r="I7" s="19" t="n">
        <f aca="false">COUNTIFS('KPI Catalog'!$X$5:$X$54,"At risk")</f>
        <v>6</v>
      </c>
      <c r="J7" s="18" t="str">
        <f aca="false">COUNTIFS('KPI Catalog'!$V$5:$V$54,"Yes")&amp;" of "&amp;(COUNTA('KPI Catalog'!$A$5:$A$54)-COUNTIFS('KPI Catalog'!$V$5:$V$54,"Not applicable"))</f>
        <v>4 of 8</v>
      </c>
    </row>
    <row r="9" customFormat="false" ht="19.5" hidden="false" customHeight="true" outlineLevel="0" collapsed="false">
      <c r="B9" s="7" t="s">
        <v>69</v>
      </c>
      <c r="C9" s="8"/>
      <c r="D9" s="8"/>
      <c r="E9" s="8"/>
      <c r="F9" s="8"/>
      <c r="G9" s="8"/>
      <c r="H9" s="8"/>
      <c r="I9" s="8"/>
      <c r="J9" s="8"/>
    </row>
    <row r="10" customFormat="false" ht="31.5" hidden="false" customHeight="true" outlineLevel="0" collapsed="false">
      <c r="B10" s="10" t="s">
        <v>18</v>
      </c>
      <c r="C10" s="10"/>
      <c r="D10" s="10"/>
      <c r="E10" s="10" t="s">
        <v>70</v>
      </c>
      <c r="F10" s="10" t="s">
        <v>71</v>
      </c>
      <c r="G10" s="10" t="s">
        <v>72</v>
      </c>
      <c r="H10" s="10" t="s">
        <v>73</v>
      </c>
      <c r="I10" s="10" t="s">
        <v>67</v>
      </c>
      <c r="J10" s="10"/>
    </row>
    <row r="11" customFormat="false" ht="15" hidden="false" customHeight="true" outlineLevel="0" collapsed="false">
      <c r="B11" s="11" t="s">
        <v>19</v>
      </c>
      <c r="C11" s="11"/>
      <c r="D11" s="11"/>
      <c r="E11" s="13" t="n">
        <f aca="false">COUNTIFS('KPI Catalog'!$B$5:$B$54,"North Star")</f>
        <v>1</v>
      </c>
      <c r="F11" s="13" t="n">
        <f aca="false">COUNTIFS('KPI Catalog'!$B$5:$B$54,"North Star",'KPI Catalog'!$X$5:$X$54,"Ready")</f>
        <v>0</v>
      </c>
      <c r="G11" s="13" t="n">
        <f aca="false">COUNTIFS('KPI Catalog'!$B$5:$B$54,"North Star",'KPI Catalog'!$X$5:$X$54,"In progress")</f>
        <v>0</v>
      </c>
      <c r="H11" s="13" t="n">
        <f aca="false">COUNTIFS('KPI Catalog'!$B$5:$B$54,"North Star",'KPI Catalog'!$X$5:$X$54,"Needs approval")</f>
        <v>0</v>
      </c>
      <c r="I11" s="13" t="n">
        <f aca="false">COUNTIFS('KPI Catalog'!$B$5:$B$54,"North Star",'KPI Catalog'!$X$5:$X$54,"At risk")</f>
        <v>1</v>
      </c>
    </row>
    <row r="12" customFormat="false" ht="15" hidden="false" customHeight="true" outlineLevel="0" collapsed="false">
      <c r="B12" s="11" t="s">
        <v>21</v>
      </c>
      <c r="C12" s="11"/>
      <c r="D12" s="11"/>
      <c r="E12" s="13" t="n">
        <f aca="false">COUNTIFS('KPI Catalog'!$B$5:$B$54,"Outcome")</f>
        <v>8</v>
      </c>
      <c r="F12" s="13" t="n">
        <f aca="false">COUNTIFS('KPI Catalog'!$B$5:$B$54,"Outcome",'KPI Catalog'!$X$5:$X$54,"Ready")</f>
        <v>1</v>
      </c>
      <c r="G12" s="13" t="n">
        <f aca="false">COUNTIFS('KPI Catalog'!$B$5:$B$54,"Outcome",'KPI Catalog'!$X$5:$X$54,"In progress")</f>
        <v>3</v>
      </c>
      <c r="H12" s="13" t="n">
        <f aca="false">COUNTIFS('KPI Catalog'!$B$5:$B$54,"Outcome",'KPI Catalog'!$X$5:$X$54,"Needs approval")</f>
        <v>3</v>
      </c>
      <c r="I12" s="13" t="n">
        <f aca="false">COUNTIFS('KPI Catalog'!$B$5:$B$54,"Outcome",'KPI Catalog'!$X$5:$X$54,"At risk")</f>
        <v>1</v>
      </c>
    </row>
    <row r="13" customFormat="false" ht="15" hidden="false" customHeight="true" outlineLevel="0" collapsed="false">
      <c r="B13" s="11" t="s">
        <v>23</v>
      </c>
      <c r="C13" s="11"/>
      <c r="D13" s="11"/>
      <c r="E13" s="13" t="n">
        <f aca="false">COUNTIFS('KPI Catalog'!$B$5:$B$54,"Leading")</f>
        <v>5</v>
      </c>
      <c r="F13" s="13" t="n">
        <f aca="false">COUNTIFS('KPI Catalog'!$B$5:$B$54,"Leading",'KPI Catalog'!$X$5:$X$54,"Ready")</f>
        <v>0</v>
      </c>
      <c r="G13" s="13" t="n">
        <f aca="false">COUNTIFS('KPI Catalog'!$B$5:$B$54,"Leading",'KPI Catalog'!$X$5:$X$54,"In progress")</f>
        <v>0</v>
      </c>
      <c r="H13" s="13" t="n">
        <f aca="false">COUNTIFS('KPI Catalog'!$B$5:$B$54,"Leading",'KPI Catalog'!$X$5:$X$54,"Needs approval")</f>
        <v>1</v>
      </c>
      <c r="I13" s="13" t="n">
        <f aca="false">COUNTIFS('KPI Catalog'!$B$5:$B$54,"Leading",'KPI Catalog'!$X$5:$X$54,"At risk")</f>
        <v>4</v>
      </c>
    </row>
    <row r="14" customFormat="false" ht="15" hidden="false" customHeight="true" outlineLevel="0" collapsed="false">
      <c r="B14" s="11" t="s">
        <v>25</v>
      </c>
      <c r="C14" s="11"/>
      <c r="D14" s="11"/>
      <c r="E14" s="13" t="n">
        <f aca="false">COUNTIFS('KPI Catalog'!$B$5:$B$54,"Guardrail")</f>
        <v>7</v>
      </c>
      <c r="F14" s="13" t="n">
        <f aca="false">COUNTIFS('KPI Catalog'!$B$5:$B$54,"Guardrail",'KPI Catalog'!$X$5:$X$54,"Ready")</f>
        <v>0</v>
      </c>
      <c r="G14" s="13" t="n">
        <f aca="false">COUNTIFS('KPI Catalog'!$B$5:$B$54,"Guardrail",'KPI Catalog'!$X$5:$X$54,"In progress")</f>
        <v>6</v>
      </c>
      <c r="H14" s="13" t="n">
        <f aca="false">COUNTIFS('KPI Catalog'!$B$5:$B$54,"Guardrail",'KPI Catalog'!$X$5:$X$54,"Needs approval")</f>
        <v>1</v>
      </c>
      <c r="I14" s="13" t="n">
        <f aca="false">COUNTIFS('KPI Catalog'!$B$5:$B$54,"Guardrail",'KPI Catalog'!$X$5:$X$54,"At risk")</f>
        <v>0</v>
      </c>
    </row>
    <row r="15" customFormat="false" ht="15" hidden="false" customHeight="true" outlineLevel="0" collapsed="false">
      <c r="B15" s="11" t="s">
        <v>74</v>
      </c>
      <c r="C15" s="11"/>
      <c r="D15" s="11"/>
      <c r="E15" s="20" t="n">
        <f aca="false">SUM(E11:E14)</f>
        <v>21</v>
      </c>
      <c r="F15" s="20" t="n">
        <f aca="false">SUM(F11:F14)</f>
        <v>1</v>
      </c>
      <c r="G15" s="20" t="n">
        <f aca="false">SUM(G11:G14)</f>
        <v>9</v>
      </c>
      <c r="H15" s="20" t="n">
        <f aca="false">SUM(H11:H14)</f>
        <v>5</v>
      </c>
      <c r="I15" s="20" t="n">
        <f aca="false">SUM(I11:I14)</f>
        <v>6</v>
      </c>
    </row>
    <row r="30" customFormat="false" ht="19.5" hidden="false" customHeight="true" outlineLevel="0" collapsed="false">
      <c r="B30" s="7" t="s">
        <v>75</v>
      </c>
      <c r="C30" s="8"/>
      <c r="D30" s="8"/>
      <c r="E30" s="8"/>
      <c r="F30" s="8"/>
      <c r="G30" s="8"/>
      <c r="H30" s="8"/>
      <c r="I30" s="8"/>
      <c r="J30" s="8"/>
    </row>
    <row r="31" customFormat="false" ht="31.5" hidden="false" customHeight="true" outlineLevel="0" collapsed="false">
      <c r="B31" s="10" t="s">
        <v>76</v>
      </c>
      <c r="C31" s="10" t="s">
        <v>18</v>
      </c>
      <c r="D31" s="10" t="s">
        <v>77</v>
      </c>
      <c r="E31" s="10" t="s">
        <v>37</v>
      </c>
      <c r="F31" s="10"/>
      <c r="G31" s="10" t="s">
        <v>41</v>
      </c>
      <c r="H31" s="10" t="s">
        <v>78</v>
      </c>
      <c r="I31" s="10" t="s">
        <v>79</v>
      </c>
      <c r="J31" s="10" t="s">
        <v>80</v>
      </c>
    </row>
    <row r="32" customFormat="false" ht="31.5" hidden="false" customHeight="true" outlineLevel="0" collapsed="false">
      <c r="B32" s="13" t="str">
        <f aca="false">IFERROR(IF(INDEX('KPI Catalog'!$A$5:$A$54,MATCH(SMALL('KPI Catalog'!$AD$5:$AD$54,1),'KPI Catalog'!$AD$5:$AD$54,0))="","",INDEX('KPI Catalog'!$A$5:$A$54,MATCH(SMALL('KPI Catalog'!$AD$5:$AD$54,1),'KPI Catalog'!$AD$5:$AD$54,0))),"")</f>
        <v>KPI-01</v>
      </c>
      <c r="C32" s="13" t="str">
        <f aca="false">IFERROR(IF(INDEX('KPI Catalog'!$B$5:$B$54,MATCH(SMALL('KPI Catalog'!$AD$5:$AD$54,1),'KPI Catalog'!$AD$5:$AD$54,0))="","",INDEX('KPI Catalog'!$B$5:$B$54,MATCH(SMALL('KPI Catalog'!$AD$5:$AD$54,1),'KPI Catalog'!$AD$5:$AD$54,0))),"")</f>
        <v>North Star</v>
      </c>
      <c r="D32" s="12" t="str">
        <f aca="false">IFERROR(IF(INDEX('KPI Catalog'!$C$5:$C$54,MATCH(SMALL('KPI Catalog'!$AD$5:$AD$54,1),'KPI Catalog'!$AD$5:$AD$54,0))="","",INDEX('KPI Catalog'!$C$5:$C$54,MATCH(SMALL('KPI Catalog'!$AD$5:$AD$54,1),'KPI Catalog'!$AD$5:$AD$54,0))),"")</f>
        <v>Dispute value recovery rate</v>
      </c>
      <c r="E32" s="13" t="str">
        <f aca="false">IFERROR(IF(INDEX('KPI Catalog'!$U$5:$U$54,MATCH(SMALL('KPI Catalog'!$AD$5:$AD$54,1),'KPI Catalog'!$AD$5:$AD$54,0))="","",INDEX('KPI Catalog'!$U$5:$U$54,MATCH(SMALL('KPI Catalog'!$AD$5:$AD$54,1),'KPI Catalog'!$AD$5:$AD$54,0))),"")</f>
        <v>Pending decision</v>
      </c>
      <c r="F32" s="13"/>
      <c r="G32" s="13" t="str">
        <f aca="false">IFERROR(IF(INDEX('KPI Catalog'!$W$5:$W$54,MATCH(SMALL('KPI Catalog'!$AD$5:$AD$54,1),'KPI Catalog'!$AD$5:$AD$54,0))="","",INDEX('KPI Catalog'!$W$5:$W$54,MATCH(SMALL('KPI Catalog'!$AD$5:$AD$54,1),'KPI Catalog'!$AD$5:$AD$54,0))),"")</f>
        <v>No</v>
      </c>
      <c r="H32" s="14" t="n">
        <f aca="false">IFERROR(IF(INDEX('KPI Catalog'!$Y$5:$Y$54,MATCH(SMALL('KPI Catalog'!$AD$5:$AD$54,1),'KPI Catalog'!$AD$5:$AD$54,0))="","",INDEX('KPI Catalog'!$Y$5:$Y$54,MATCH(SMALL('KPI Catalog'!$AD$5:$AD$54,1),'KPI Catalog'!$AD$5:$AD$54,0))),"")</f>
        <v>46360</v>
      </c>
      <c r="I32" s="12" t="str">
        <f aca="false">IFERROR(IF(INDEX('KPI Catalog'!$AB$5:$AB$54,MATCH(SMALL('KPI Catalog'!$AD$5:$AD$54,1),'KPI Catalog'!$AD$5:$AD$54,0))="","",INDEX('KPI Catalog'!$AB$5:$AB$54,MATCH(SMALL('KPI Catalog'!$AD$5:$AD$54,1),'KPI Catalog'!$AD$5:$AD$54,0))),"")</f>
        <v>CR-05, I-05, A-06, D-04</v>
      </c>
      <c r="J32" s="12" t="str">
        <f aca="false">IFERROR(IF(INDEX('KPI Catalog'!$M$5:$M$54,MATCH(SMALL('KPI Catalog'!$AD$5:$AD$54,1),'KPI Catalog'!$AD$5:$AD$54,0))="","",INDEX('KPI Catalog'!$M$5:$M$54,MATCH(SMALL('KPI Catalog'!$AD$5:$AD$54,1),'KPI Catalog'!$AD$5:$AD$54,0))),"")</f>
        <v>Finance Lead</v>
      </c>
    </row>
    <row r="33" customFormat="false" ht="31.5" hidden="false" customHeight="true" outlineLevel="0" collapsed="false">
      <c r="B33" s="13" t="str">
        <f aca="false">IFERROR(IF(INDEX('KPI Catalog'!$A$5:$A$54,MATCH(SMALL('KPI Catalog'!$AD$5:$AD$54,2),'KPI Catalog'!$AD$5:$AD$54,0))="","",INDEX('KPI Catalog'!$A$5:$A$54,MATCH(SMALL('KPI Catalog'!$AD$5:$AD$54,2),'KPI Catalog'!$AD$5:$AD$54,0))),"")</f>
        <v>KPI-02</v>
      </c>
      <c r="C33" s="13" t="str">
        <f aca="false">IFERROR(IF(INDEX('KPI Catalog'!$B$5:$B$54,MATCH(SMALL('KPI Catalog'!$AD$5:$AD$54,2),'KPI Catalog'!$AD$5:$AD$54,0))="","",INDEX('KPI Catalog'!$B$5:$B$54,MATCH(SMALL('KPI Catalog'!$AD$5:$AD$54,2),'KPI Catalog'!$AD$5:$AD$54,0))),"")</f>
        <v>Outcome</v>
      </c>
      <c r="D33" s="12" t="str">
        <f aca="false">IFERROR(IF(INDEX('KPI Catalog'!$C$5:$C$54,MATCH(SMALL('KPI Catalog'!$AD$5:$AD$54,2),'KPI Catalog'!$AD$5:$AD$54,0))="","",INDEX('KPI Catalog'!$C$5:$C$54,MATCH(SMALL('KPI Catalog'!$AD$5:$AD$54,2),'KPI Catalog'!$AD$5:$AD$54,0))),"")</f>
        <v>Dispute win rate</v>
      </c>
      <c r="E33" s="13" t="str">
        <f aca="false">IFERROR(IF(INDEX('KPI Catalog'!$U$5:$U$54,MATCH(SMALL('KPI Catalog'!$AD$5:$AD$54,2),'KPI Catalog'!$AD$5:$AD$54,0))="","",INDEX('KPI Catalog'!$U$5:$U$54,MATCH(SMALL('KPI Catalog'!$AD$5:$AD$54,2),'KPI Catalog'!$AD$5:$AD$54,0))),"")</f>
        <v>Pending decision</v>
      </c>
      <c r="F33" s="13"/>
      <c r="G33" s="13" t="str">
        <f aca="false">IFERROR(IF(INDEX('KPI Catalog'!$W$5:$W$54,MATCH(SMALL('KPI Catalog'!$AD$5:$AD$54,2),'KPI Catalog'!$AD$5:$AD$54,0))="","",INDEX('KPI Catalog'!$W$5:$W$54,MATCH(SMALL('KPI Catalog'!$AD$5:$AD$54,2),'KPI Catalog'!$AD$5:$AD$54,0))),"")</f>
        <v>No</v>
      </c>
      <c r="H33" s="14" t="n">
        <f aca="false">IFERROR(IF(INDEX('KPI Catalog'!$Y$5:$Y$54,MATCH(SMALL('KPI Catalog'!$AD$5:$AD$54,2),'KPI Catalog'!$AD$5:$AD$54,0))="","",INDEX('KPI Catalog'!$Y$5:$Y$54,MATCH(SMALL('KPI Catalog'!$AD$5:$AD$54,2),'KPI Catalog'!$AD$5:$AD$54,0))),"")</f>
        <v>46360</v>
      </c>
      <c r="I33" s="12" t="str">
        <f aca="false">IFERROR(IF(INDEX('KPI Catalog'!$AB$5:$AB$54,MATCH(SMALL('KPI Catalog'!$AD$5:$AD$54,2),'KPI Catalog'!$AD$5:$AD$54,0))="","",INDEX('KPI Catalog'!$AB$5:$AB$54,MATCH(SMALL('KPI Catalog'!$AD$5:$AD$54,2),'KPI Catalog'!$AD$5:$AD$54,0))),"")</f>
        <v>CR-05, I-05</v>
      </c>
      <c r="J33" s="12" t="str">
        <f aca="false">IFERROR(IF(INDEX('KPI Catalog'!$M$5:$M$54,MATCH(SMALL('KPI Catalog'!$AD$5:$AD$54,2),'KPI Catalog'!$AD$5:$AD$54,0))="","",INDEX('KPI Catalog'!$M$5:$M$54,MATCH(SMALL('KPI Catalog'!$AD$5:$AD$54,2),'KPI Catalog'!$AD$5:$AD$54,0))),"")</f>
        <v>Finance Lead</v>
      </c>
    </row>
    <row r="34" customFormat="false" ht="31.5" hidden="false" customHeight="true" outlineLevel="0" collapsed="false">
      <c r="B34" s="13" t="str">
        <f aca="false">IFERROR(IF(INDEX('KPI Catalog'!$A$5:$A$54,MATCH(SMALL('KPI Catalog'!$AD$5:$AD$54,3),'KPI Catalog'!$AD$5:$AD$54,0))="","",INDEX('KPI Catalog'!$A$5:$A$54,MATCH(SMALL('KPI Catalog'!$AD$5:$AD$54,3),'KPI Catalog'!$AD$5:$AD$54,0))),"")</f>
        <v>KPI-08</v>
      </c>
      <c r="C34" s="13" t="str">
        <f aca="false">IFERROR(IF(INDEX('KPI Catalog'!$B$5:$B$54,MATCH(SMALL('KPI Catalog'!$AD$5:$AD$54,3),'KPI Catalog'!$AD$5:$AD$54,0))="","",INDEX('KPI Catalog'!$B$5:$B$54,MATCH(SMALL('KPI Catalog'!$AD$5:$AD$54,3),'KPI Catalog'!$AD$5:$AD$54,0))),"")</f>
        <v>Leading</v>
      </c>
      <c r="D34" s="12" t="str">
        <f aca="false">IFERROR(IF(INDEX('KPI Catalog'!$C$5:$C$54,MATCH(SMALL('KPI Catalog'!$AD$5:$AD$54,3),'KPI Catalog'!$AD$5:$AD$54,0))="","",INDEX('KPI Catalog'!$C$5:$C$54,MATCH(SMALL('KPI Catalog'!$AD$5:$AD$54,3),'KPI Catalog'!$AD$5:$AD$54,0))),"")</f>
        <v>Pilot merchant activation rate</v>
      </c>
      <c r="E34" s="13" t="str">
        <f aca="false">IFERROR(IF(INDEX('KPI Catalog'!$U$5:$U$54,MATCH(SMALL('KPI Catalog'!$AD$5:$AD$54,3),'KPI Catalog'!$AD$5:$AD$54,0))="","",INDEX('KPI Catalog'!$U$5:$U$54,MATCH(SMALL('KPI Catalog'!$AD$5:$AD$54,3),'KPI Catalog'!$AD$5:$AD$54,0))),"")</f>
        <v>Approved</v>
      </c>
      <c r="F34" s="13"/>
      <c r="G34" s="13" t="str">
        <f aca="false">IFERROR(IF(INDEX('KPI Catalog'!$W$5:$W$54,MATCH(SMALL('KPI Catalog'!$AD$5:$AD$54,3),'KPI Catalog'!$AD$5:$AD$54,0))="","",INDEX('KPI Catalog'!$W$5:$W$54,MATCH(SMALL('KPI Catalog'!$AD$5:$AD$54,3),'KPI Catalog'!$AD$5:$AD$54,0))),"")</f>
        <v>Blocked</v>
      </c>
      <c r="H34" s="14" t="n">
        <f aca="false">IFERROR(IF(INDEX('KPI Catalog'!$Y$5:$Y$54,MATCH(SMALL('KPI Catalog'!$AD$5:$AD$54,3),'KPI Catalog'!$AD$5:$AD$54,0))="","",INDEX('KPI Catalog'!$Y$5:$Y$54,MATCH(SMALL('KPI Catalog'!$AD$5:$AD$54,3),'KPI Catalog'!$AD$5:$AD$54,0))),"")</f>
        <v>46360</v>
      </c>
      <c r="I34" s="12" t="str">
        <f aca="false">IFERROR(IF(INDEX('KPI Catalog'!$AB$5:$AB$54,MATCH(SMALL('KPI Catalog'!$AD$5:$AD$54,3),'KPI Catalog'!$AD$5:$AD$54,0))="","",INDEX('KPI Catalog'!$AB$5:$AB$54,MATCH(SMALL('KPI Catalog'!$AD$5:$AD$54,3),'KPI Catalog'!$AD$5:$AD$54,0))),"")</f>
        <v>R-04, I-06</v>
      </c>
      <c r="J34" s="12" t="str">
        <f aca="false">IFERROR(IF(INDEX('KPI Catalog'!$M$5:$M$54,MATCH(SMALL('KPI Catalog'!$AD$5:$AD$54,3),'KPI Catalog'!$AD$5:$AD$54,0))="","",INDEX('KPI Catalog'!$M$5:$M$54,MATCH(SMALL('KPI Catalog'!$AD$5:$AD$54,3),'KPI Catalog'!$AD$5:$AD$54,0))),"")</f>
        <v>Product Owner</v>
      </c>
    </row>
    <row r="35" customFormat="false" ht="31.5" hidden="false" customHeight="true" outlineLevel="0" collapsed="false">
      <c r="B35" s="13" t="str">
        <f aca="false">IFERROR(IF(INDEX('KPI Catalog'!$A$5:$A$54,MATCH(SMALL('KPI Catalog'!$AD$5:$AD$54,4),'KPI Catalog'!$AD$5:$AD$54,0))="","",INDEX('KPI Catalog'!$A$5:$A$54,MATCH(SMALL('KPI Catalog'!$AD$5:$AD$54,4),'KPI Catalog'!$AD$5:$AD$54,0))),"")</f>
        <v>KPI-09</v>
      </c>
      <c r="C35" s="13" t="str">
        <f aca="false">IFERROR(IF(INDEX('KPI Catalog'!$B$5:$B$54,MATCH(SMALL('KPI Catalog'!$AD$5:$AD$54,4),'KPI Catalog'!$AD$5:$AD$54,0))="","",INDEX('KPI Catalog'!$B$5:$B$54,MATCH(SMALL('KPI Catalog'!$AD$5:$AD$54,4),'KPI Catalog'!$AD$5:$AD$54,0))),"")</f>
        <v>Leading</v>
      </c>
      <c r="D35" s="12" t="str">
        <f aca="false">IFERROR(IF(INDEX('KPI Catalog'!$C$5:$C$54,MATCH(SMALL('KPI Catalog'!$AD$5:$AD$54,4),'KPI Catalog'!$AD$5:$AD$54,0))="","",INDEX('KPI Catalog'!$C$5:$C$54,MATCH(SMALL('KPI Catalog'!$AD$5:$AD$54,4),'KPI Catalog'!$AD$5:$AD$54,0))),"")</f>
        <v>Weekly active user rate</v>
      </c>
      <c r="E35" s="13" t="str">
        <f aca="false">IFERROR(IF(INDEX('KPI Catalog'!$U$5:$U$54,MATCH(SMALL('KPI Catalog'!$AD$5:$AD$54,4),'KPI Catalog'!$AD$5:$AD$54,0))="","",INDEX('KPI Catalog'!$U$5:$U$54,MATCH(SMALL('KPI Catalog'!$AD$5:$AD$54,4),'KPI Catalog'!$AD$5:$AD$54,0))),"")</f>
        <v>Approved</v>
      </c>
      <c r="F35" s="13"/>
      <c r="G35" s="13" t="str">
        <f aca="false">IFERROR(IF(INDEX('KPI Catalog'!$W$5:$W$54,MATCH(SMALL('KPI Catalog'!$AD$5:$AD$54,4),'KPI Catalog'!$AD$5:$AD$54,0))="","",INDEX('KPI Catalog'!$W$5:$W$54,MATCH(SMALL('KPI Catalog'!$AD$5:$AD$54,4),'KPI Catalog'!$AD$5:$AD$54,0))),"")</f>
        <v>Blocked</v>
      </c>
      <c r="H35" s="14" t="n">
        <f aca="false">IFERROR(IF(INDEX('KPI Catalog'!$Y$5:$Y$54,MATCH(SMALL('KPI Catalog'!$AD$5:$AD$54,4),'KPI Catalog'!$AD$5:$AD$54,0))="","",INDEX('KPI Catalog'!$Y$5:$Y$54,MATCH(SMALL('KPI Catalog'!$AD$5:$AD$54,4),'KPI Catalog'!$AD$5:$AD$54,0))),"")</f>
        <v>46360</v>
      </c>
      <c r="I35" s="12" t="str">
        <f aca="false">IFERROR(IF(INDEX('KPI Catalog'!$AB$5:$AB$54,MATCH(SMALL('KPI Catalog'!$AD$5:$AD$54,4),'KPI Catalog'!$AD$5:$AD$54,0))="","",INDEX('KPI Catalog'!$AB$5:$AB$54,MATCH(SMALL('KPI Catalog'!$AD$5:$AD$54,4),'KPI Catalog'!$AD$5:$AD$54,0))),"")</f>
        <v>I-06</v>
      </c>
      <c r="J35" s="12" t="str">
        <f aca="false">IFERROR(IF(INDEX('KPI Catalog'!$M$5:$M$54,MATCH(SMALL('KPI Catalog'!$AD$5:$AD$54,4),'KPI Catalog'!$AD$5:$AD$54,0))="","",INDEX('KPI Catalog'!$M$5:$M$54,MATCH(SMALL('KPI Catalog'!$AD$5:$AD$54,4),'KPI Catalog'!$AD$5:$AD$54,0))),"")</f>
        <v>Product Owner</v>
      </c>
    </row>
    <row r="36" customFormat="false" ht="31.5" hidden="false" customHeight="true" outlineLevel="0" collapsed="false">
      <c r="B36" s="13" t="str">
        <f aca="false">IFERROR(IF(INDEX('KPI Catalog'!$A$5:$A$54,MATCH(SMALL('KPI Catalog'!$AD$5:$AD$54,5),'KPI Catalog'!$AD$5:$AD$54,0))="","",INDEX('KPI Catalog'!$A$5:$A$54,MATCH(SMALL('KPI Catalog'!$AD$5:$AD$54,5),'KPI Catalog'!$AD$5:$AD$54,0))),"")</f>
        <v>KPI-10</v>
      </c>
      <c r="C36" s="13" t="str">
        <f aca="false">IFERROR(IF(INDEX('KPI Catalog'!$B$5:$B$54,MATCH(SMALL('KPI Catalog'!$AD$5:$AD$54,5),'KPI Catalog'!$AD$5:$AD$54,0))="","",INDEX('KPI Catalog'!$B$5:$B$54,MATCH(SMALL('KPI Catalog'!$AD$5:$AD$54,5),'KPI Catalog'!$AD$5:$AD$54,0))),"")</f>
        <v>Leading</v>
      </c>
      <c r="D36" s="12" t="str">
        <f aca="false">IFERROR(IF(INDEX('KPI Catalog'!$C$5:$C$54,MATCH(SMALL('KPI Catalog'!$AD$5:$AD$54,5),'KPI Catalog'!$AD$5:$AD$54,0))="","",INDEX('KPI Catalog'!$C$5:$C$54,MATCH(SMALL('KPI Catalog'!$AD$5:$AD$54,5),'KPI Catalog'!$AD$5:$AD$54,0))),"")</f>
        <v>Evidence submission completion rate</v>
      </c>
      <c r="E36" s="13" t="str">
        <f aca="false">IFERROR(IF(INDEX('KPI Catalog'!$U$5:$U$54,MATCH(SMALL('KPI Catalog'!$AD$5:$AD$54,5),'KPI Catalog'!$AD$5:$AD$54,0))="","",INDEX('KPI Catalog'!$U$5:$U$54,MATCH(SMALL('KPI Catalog'!$AD$5:$AD$54,5),'KPI Catalog'!$AD$5:$AD$54,0))),"")</f>
        <v>Proposed</v>
      </c>
      <c r="F36" s="13"/>
      <c r="G36" s="13" t="str">
        <f aca="false">IFERROR(IF(INDEX('KPI Catalog'!$W$5:$W$54,MATCH(SMALL('KPI Catalog'!$AD$5:$AD$54,5),'KPI Catalog'!$AD$5:$AD$54,0))="","",INDEX('KPI Catalog'!$W$5:$W$54,MATCH(SMALL('KPI Catalog'!$AD$5:$AD$54,5),'KPI Catalog'!$AD$5:$AD$54,0))),"")</f>
        <v>Blocked</v>
      </c>
      <c r="H36" s="14" t="n">
        <f aca="false">IFERROR(IF(INDEX('KPI Catalog'!$Y$5:$Y$54,MATCH(SMALL('KPI Catalog'!$AD$5:$AD$54,5),'KPI Catalog'!$AD$5:$AD$54,0))="","",INDEX('KPI Catalog'!$Y$5:$Y$54,MATCH(SMALL('KPI Catalog'!$AD$5:$AD$54,5),'KPI Catalog'!$AD$5:$AD$54,0))),"")</f>
        <v>46360</v>
      </c>
      <c r="I36" s="12" t="str">
        <f aca="false">IFERROR(IF(INDEX('KPI Catalog'!$AB$5:$AB$54,MATCH(SMALL('KPI Catalog'!$AD$5:$AD$54,5),'KPI Catalog'!$AD$5:$AD$54,0))="","",INDEX('KPI Catalog'!$AB$5:$AB$54,MATCH(SMALL('KPI Catalog'!$AD$5:$AD$54,5),'KPI Catalog'!$AD$5:$AD$54,0))),"")</f>
        <v>I-06</v>
      </c>
      <c r="J36" s="12" t="str">
        <f aca="false">IFERROR(IF(INDEX('KPI Catalog'!$M$5:$M$54,MATCH(SMALL('KPI Catalog'!$AD$5:$AD$54,5),'KPI Catalog'!$AD$5:$AD$54,0))="","",INDEX('KPI Catalog'!$M$5:$M$54,MATCH(SMALL('KPI Catalog'!$AD$5:$AD$54,5),'KPI Catalog'!$AD$5:$AD$54,0))),"")</f>
        <v>Product Owner</v>
      </c>
    </row>
    <row r="37" customFormat="false" ht="31.5" hidden="false" customHeight="true" outlineLevel="0" collapsed="false">
      <c r="B37" s="13" t="str">
        <f aca="false">IFERROR(IF(INDEX('KPI Catalog'!$A$5:$A$54,MATCH(SMALL('KPI Catalog'!$AD$5:$AD$54,6),'KPI Catalog'!$AD$5:$AD$54,0))="","",INDEX('KPI Catalog'!$A$5:$A$54,MATCH(SMALL('KPI Catalog'!$AD$5:$AD$54,6),'KPI Catalog'!$AD$5:$AD$54,0))),"")</f>
        <v>KPI-11</v>
      </c>
      <c r="C37" s="13" t="str">
        <f aca="false">IFERROR(IF(INDEX('KPI Catalog'!$B$5:$B$54,MATCH(SMALL('KPI Catalog'!$AD$5:$AD$54,6),'KPI Catalog'!$AD$5:$AD$54,0))="","",INDEX('KPI Catalog'!$B$5:$B$54,MATCH(SMALL('KPI Catalog'!$AD$5:$AD$54,6),'KPI Catalog'!$AD$5:$AD$54,0))),"")</f>
        <v>Leading</v>
      </c>
      <c r="D37" s="12" t="str">
        <f aca="false">IFERROR(IF(INDEX('KPI Catalog'!$C$5:$C$54,MATCH(SMALL('KPI Catalog'!$AD$5:$AD$54,6),'KPI Catalog'!$AD$5:$AD$54,0))="","",INDEX('KPI Catalog'!$C$5:$C$54,MATCH(SMALL('KPI Catalog'!$AD$5:$AD$54,6),'KPI Catalog'!$AD$5:$AD$54,0))),"")</f>
        <v>Onboarding guide completion rate</v>
      </c>
      <c r="E37" s="13" t="str">
        <f aca="false">IFERROR(IF(INDEX('KPI Catalog'!$U$5:$U$54,MATCH(SMALL('KPI Catalog'!$AD$5:$AD$54,6),'KPI Catalog'!$AD$5:$AD$54,0))="","",INDEX('KPI Catalog'!$U$5:$U$54,MATCH(SMALL('KPI Catalog'!$AD$5:$AD$54,6),'KPI Catalog'!$AD$5:$AD$54,0))),"")</f>
        <v>Proposed</v>
      </c>
      <c r="F37" s="13"/>
      <c r="G37" s="13" t="str">
        <f aca="false">IFERROR(IF(INDEX('KPI Catalog'!$W$5:$W$54,MATCH(SMALL('KPI Catalog'!$AD$5:$AD$54,6),'KPI Catalog'!$AD$5:$AD$54,0))="","",INDEX('KPI Catalog'!$W$5:$W$54,MATCH(SMALL('KPI Catalog'!$AD$5:$AD$54,6),'KPI Catalog'!$AD$5:$AD$54,0))),"")</f>
        <v>Blocked</v>
      </c>
      <c r="H37" s="14" t="n">
        <f aca="false">IFERROR(IF(INDEX('KPI Catalog'!$Y$5:$Y$54,MATCH(SMALL('KPI Catalog'!$AD$5:$AD$54,6),'KPI Catalog'!$AD$5:$AD$54,0))="","",INDEX('KPI Catalog'!$Y$5:$Y$54,MATCH(SMALL('KPI Catalog'!$AD$5:$AD$54,6),'KPI Catalog'!$AD$5:$AD$54,0))),"")</f>
        <v>46360</v>
      </c>
      <c r="I37" s="12" t="str">
        <f aca="false">IFERROR(IF(INDEX('KPI Catalog'!$AB$5:$AB$54,MATCH(SMALL('KPI Catalog'!$AD$5:$AD$54,6),'KPI Catalog'!$AD$5:$AD$54,0))="","",INDEX('KPI Catalog'!$AB$5:$AB$54,MATCH(SMALL('KPI Catalog'!$AD$5:$AD$54,6),'KPI Catalog'!$AD$5:$AD$54,0))),"")</f>
        <v>R-04, I-06</v>
      </c>
      <c r="J37" s="12" t="str">
        <f aca="false">IFERROR(IF(INDEX('KPI Catalog'!$M$5:$M$54,MATCH(SMALL('KPI Catalog'!$AD$5:$AD$54,6),'KPI Catalog'!$AD$5:$AD$54,0))="","",INDEX('KPI Catalog'!$M$5:$M$54,MATCH(SMALL('KPI Catalog'!$AD$5:$AD$54,6),'KPI Catalog'!$AD$5:$AD$54,0))),"")</f>
        <v>Product Owner</v>
      </c>
    </row>
    <row r="38" customFormat="false" ht="31.5" hidden="false" customHeight="true" outlineLevel="0" collapsed="false">
      <c r="B38" s="13" t="str">
        <f aca="false">IFERROR(IF(INDEX('KPI Catalog'!$A$5:$A$54,MATCH(SMALL('KPI Catalog'!$AD$5:$AD$54,7),'KPI Catalog'!$AD$5:$AD$54,0))="","",INDEX('KPI Catalog'!$A$5:$A$54,MATCH(SMALL('KPI Catalog'!$AD$5:$AD$54,7),'KPI Catalog'!$AD$5:$AD$54,0))),"")</f>
        <v/>
      </c>
      <c r="C38" s="13" t="str">
        <f aca="false">IFERROR(IF(INDEX('KPI Catalog'!$B$5:$B$54,MATCH(SMALL('KPI Catalog'!$AD$5:$AD$54,7),'KPI Catalog'!$AD$5:$AD$54,0))="","",INDEX('KPI Catalog'!$B$5:$B$54,MATCH(SMALL('KPI Catalog'!$AD$5:$AD$54,7),'KPI Catalog'!$AD$5:$AD$54,0))),"")</f>
        <v/>
      </c>
      <c r="D38" s="12" t="str">
        <f aca="false">IFERROR(IF(INDEX('KPI Catalog'!$C$5:$C$54,MATCH(SMALL('KPI Catalog'!$AD$5:$AD$54,7),'KPI Catalog'!$AD$5:$AD$54,0))="","",INDEX('KPI Catalog'!$C$5:$C$54,MATCH(SMALL('KPI Catalog'!$AD$5:$AD$54,7),'KPI Catalog'!$AD$5:$AD$54,0))),"")</f>
        <v/>
      </c>
      <c r="E38" s="13" t="str">
        <f aca="false">IFERROR(IF(INDEX('KPI Catalog'!$U$5:$U$54,MATCH(SMALL('KPI Catalog'!$AD$5:$AD$54,7),'KPI Catalog'!$AD$5:$AD$54,0))="","",INDEX('KPI Catalog'!$U$5:$U$54,MATCH(SMALL('KPI Catalog'!$AD$5:$AD$54,7),'KPI Catalog'!$AD$5:$AD$54,0))),"")</f>
        <v/>
      </c>
      <c r="F38" s="13"/>
      <c r="G38" s="13" t="str">
        <f aca="false">IFERROR(IF(INDEX('KPI Catalog'!$W$5:$W$54,MATCH(SMALL('KPI Catalog'!$AD$5:$AD$54,7),'KPI Catalog'!$AD$5:$AD$54,0))="","",INDEX('KPI Catalog'!$W$5:$W$54,MATCH(SMALL('KPI Catalog'!$AD$5:$AD$54,7),'KPI Catalog'!$AD$5:$AD$54,0))),"")</f>
        <v/>
      </c>
      <c r="H38" s="14" t="str">
        <f aca="false">IFERROR(IF(INDEX('KPI Catalog'!$Y$5:$Y$54,MATCH(SMALL('KPI Catalog'!$AD$5:$AD$54,7),'KPI Catalog'!$AD$5:$AD$54,0))="","",INDEX('KPI Catalog'!$Y$5:$Y$54,MATCH(SMALL('KPI Catalog'!$AD$5:$AD$54,7),'KPI Catalog'!$AD$5:$AD$54,0))),"")</f>
        <v/>
      </c>
      <c r="I38" s="12" t="str">
        <f aca="false">IFERROR(IF(INDEX('KPI Catalog'!$AB$5:$AB$54,MATCH(SMALL('KPI Catalog'!$AD$5:$AD$54,7),'KPI Catalog'!$AD$5:$AD$54,0))="","",INDEX('KPI Catalog'!$AB$5:$AB$54,MATCH(SMALL('KPI Catalog'!$AD$5:$AD$54,7),'KPI Catalog'!$AD$5:$AD$54,0))),"")</f>
        <v/>
      </c>
      <c r="J38" s="12" t="str">
        <f aca="false">IFERROR(IF(INDEX('KPI Catalog'!$M$5:$M$54,MATCH(SMALL('KPI Catalog'!$AD$5:$AD$54,7),'KPI Catalog'!$AD$5:$AD$54,0))="","",INDEX('KPI Catalog'!$M$5:$M$54,MATCH(SMALL('KPI Catalog'!$AD$5:$AD$54,7),'KPI Catalog'!$AD$5:$AD$54,0))),"")</f>
        <v/>
      </c>
    </row>
    <row r="39" customFormat="false" ht="31.5" hidden="false" customHeight="true" outlineLevel="0" collapsed="false">
      <c r="B39" s="13" t="str">
        <f aca="false">IFERROR(IF(INDEX('KPI Catalog'!$A$5:$A$54,MATCH(SMALL('KPI Catalog'!$AD$5:$AD$54,8),'KPI Catalog'!$AD$5:$AD$54,0))="","",INDEX('KPI Catalog'!$A$5:$A$54,MATCH(SMALL('KPI Catalog'!$AD$5:$AD$54,8),'KPI Catalog'!$AD$5:$AD$54,0))),"")</f>
        <v/>
      </c>
      <c r="C39" s="13" t="str">
        <f aca="false">IFERROR(IF(INDEX('KPI Catalog'!$B$5:$B$54,MATCH(SMALL('KPI Catalog'!$AD$5:$AD$54,8),'KPI Catalog'!$AD$5:$AD$54,0))="","",INDEX('KPI Catalog'!$B$5:$B$54,MATCH(SMALL('KPI Catalog'!$AD$5:$AD$54,8),'KPI Catalog'!$AD$5:$AD$54,0))),"")</f>
        <v/>
      </c>
      <c r="D39" s="12" t="str">
        <f aca="false">IFERROR(IF(INDEX('KPI Catalog'!$C$5:$C$54,MATCH(SMALL('KPI Catalog'!$AD$5:$AD$54,8),'KPI Catalog'!$AD$5:$AD$54,0))="","",INDEX('KPI Catalog'!$C$5:$C$54,MATCH(SMALL('KPI Catalog'!$AD$5:$AD$54,8),'KPI Catalog'!$AD$5:$AD$54,0))),"")</f>
        <v/>
      </c>
      <c r="E39" s="13" t="str">
        <f aca="false">IFERROR(IF(INDEX('KPI Catalog'!$U$5:$U$54,MATCH(SMALL('KPI Catalog'!$AD$5:$AD$54,8),'KPI Catalog'!$AD$5:$AD$54,0))="","",INDEX('KPI Catalog'!$U$5:$U$54,MATCH(SMALL('KPI Catalog'!$AD$5:$AD$54,8),'KPI Catalog'!$AD$5:$AD$54,0))),"")</f>
        <v/>
      </c>
      <c r="F39" s="13"/>
      <c r="G39" s="13" t="str">
        <f aca="false">IFERROR(IF(INDEX('KPI Catalog'!$W$5:$W$54,MATCH(SMALL('KPI Catalog'!$AD$5:$AD$54,8),'KPI Catalog'!$AD$5:$AD$54,0))="","",INDEX('KPI Catalog'!$W$5:$W$54,MATCH(SMALL('KPI Catalog'!$AD$5:$AD$54,8),'KPI Catalog'!$AD$5:$AD$54,0))),"")</f>
        <v/>
      </c>
      <c r="H39" s="14" t="str">
        <f aca="false">IFERROR(IF(INDEX('KPI Catalog'!$Y$5:$Y$54,MATCH(SMALL('KPI Catalog'!$AD$5:$AD$54,8),'KPI Catalog'!$AD$5:$AD$54,0))="","",INDEX('KPI Catalog'!$Y$5:$Y$54,MATCH(SMALL('KPI Catalog'!$AD$5:$AD$54,8),'KPI Catalog'!$AD$5:$AD$54,0))),"")</f>
        <v/>
      </c>
      <c r="I39" s="12" t="str">
        <f aca="false">IFERROR(IF(INDEX('KPI Catalog'!$AB$5:$AB$54,MATCH(SMALL('KPI Catalog'!$AD$5:$AD$54,8),'KPI Catalog'!$AD$5:$AD$54,0))="","",INDEX('KPI Catalog'!$AB$5:$AB$54,MATCH(SMALL('KPI Catalog'!$AD$5:$AD$54,8),'KPI Catalog'!$AD$5:$AD$54,0))),"")</f>
        <v/>
      </c>
      <c r="J39" s="12" t="str">
        <f aca="false">IFERROR(IF(INDEX('KPI Catalog'!$M$5:$M$54,MATCH(SMALL('KPI Catalog'!$AD$5:$AD$54,8),'KPI Catalog'!$AD$5:$AD$54,0))="","",INDEX('KPI Catalog'!$M$5:$M$54,MATCH(SMALL('KPI Catalog'!$AD$5:$AD$54,8),'KPI Catalog'!$AD$5:$AD$54,0))),"")</f>
        <v/>
      </c>
    </row>
    <row r="41" customFormat="false" ht="19.5" hidden="false" customHeight="true" outlineLevel="0" collapsed="false">
      <c r="B41" s="7" t="s">
        <v>81</v>
      </c>
      <c r="C41" s="8"/>
      <c r="D41" s="8"/>
      <c r="E41" s="8"/>
      <c r="F41" s="8"/>
      <c r="G41" s="8"/>
      <c r="H41" s="8"/>
      <c r="I41" s="8"/>
      <c r="J41" s="8"/>
    </row>
    <row r="42" customFormat="false" ht="31.5" hidden="false" customHeight="true" outlineLevel="0" collapsed="false">
      <c r="B42" s="10" t="s">
        <v>76</v>
      </c>
      <c r="C42" s="10" t="s">
        <v>18</v>
      </c>
      <c r="D42" s="10" t="s">
        <v>77</v>
      </c>
      <c r="E42" s="10" t="s">
        <v>82</v>
      </c>
      <c r="F42" s="10" t="s">
        <v>83</v>
      </c>
      <c r="G42" s="10" t="s">
        <v>84</v>
      </c>
      <c r="H42" s="10" t="s">
        <v>85</v>
      </c>
      <c r="I42" s="10" t="s">
        <v>86</v>
      </c>
      <c r="J42" s="10" t="s">
        <v>80</v>
      </c>
    </row>
    <row r="43" customFormat="false" ht="30" hidden="false" customHeight="true" outlineLevel="0" collapsed="false">
      <c r="B43" s="13" t="str">
        <f aca="false">'KPI Catalog'!$A$5</f>
        <v>KPI-01</v>
      </c>
      <c r="C43" s="13" t="str">
        <f aca="false">'KPI Catalog'!$B$5</f>
        <v>North Star</v>
      </c>
      <c r="D43" s="12" t="str">
        <f aca="false">'KPI Catalog'!$C$5</f>
        <v>Dispute value recovery rate</v>
      </c>
      <c r="E43" s="13" t="str">
        <f aca="false">IF('KPI Catalog'!$A$5="","",IF('KPI Catalog'!$N$5="","–",IF('KPI Catalog'!$G$5="%",TEXT('KPI Catalog'!$N$5,"0.0%"),IF('KPI Catalog'!$G$5="minutes",TEXT('KPI Catalog'!$N$5,"0")&amp;" min",IF('KPI Catalog'!$G$5="seconds",TEXT('KPI Catalog'!$N$5,"0.0")&amp;" s",IF('KPI Catalog'!$G$5="score",TEXT('KPI Catalog'!$N$5,"0.0")&amp;" / 5",TEXT('KPI Catalog'!$N$5,"0")))))))</f>
        <v>38.0%</v>
      </c>
      <c r="F43" s="13" t="str">
        <f aca="false">IF('KPI Catalog'!$A$5="","",IF('KPI Catalog'!$O$5="","–",IF('KPI Catalog'!$G$5="%",TEXT('KPI Catalog'!$O$5,"0.0%"),IF('KPI Catalog'!$G$5="minutes",TEXT('KPI Catalog'!$O$5,"0")&amp;" min",IF('KPI Catalog'!$G$5="seconds",TEXT('KPI Catalog'!$O$5,"0.0")&amp;" s",IF('KPI Catalog'!$G$5="score",TEXT('KPI Catalog'!$O$5,"0.0")&amp;" / 5",TEXT('KPI Catalog'!$O$5,"0")))))))</f>
        <v>45.0%</v>
      </c>
      <c r="G43" s="13" t="str">
        <f aca="false">IF('KPI Catalog'!$A$5="","",IF('KPI Catalog'!$Q$5="","–",IF('KPI Catalog'!$G$5="%",TEXT('KPI Catalog'!$Q$5,"0.0%"),IF('KPI Catalog'!$G$5="minutes",TEXT('KPI Catalog'!$Q$5,"0")&amp;" min",IF('KPI Catalog'!$G$5="seconds",TEXT('KPI Catalog'!$Q$5,"0.0")&amp;" s",IF('KPI Catalog'!$G$5="score",TEXT('KPI Catalog'!$Q$5,"0.0")&amp;" / 5",TEXT('KPI Catalog'!$Q$5,"0")))))))</f>
        <v>–</v>
      </c>
      <c r="H43" s="13" t="str">
        <f aca="false">'KPI Catalog'!$R$5</f>
        <v>Not live yet</v>
      </c>
      <c r="I43" s="13" t="str">
        <f aca="false">'KPI Catalog'!$X$5</f>
        <v>At risk</v>
      </c>
      <c r="J43" s="12" t="str">
        <f aca="false">'KPI Catalog'!$M$5</f>
        <v>Finance Lead</v>
      </c>
    </row>
    <row r="44" customFormat="false" ht="30" hidden="false" customHeight="true" outlineLevel="0" collapsed="false">
      <c r="B44" s="13" t="str">
        <f aca="false">'KPI Catalog'!$A$6</f>
        <v>KPI-02</v>
      </c>
      <c r="C44" s="13" t="str">
        <f aca="false">'KPI Catalog'!$B$6</f>
        <v>Outcome</v>
      </c>
      <c r="D44" s="12" t="str">
        <f aca="false">'KPI Catalog'!$C$6</f>
        <v>Dispute win rate</v>
      </c>
      <c r="E44" s="13" t="str">
        <f aca="false">IF('KPI Catalog'!$A$6="","",IF('KPI Catalog'!$N$6="","–",IF('KPI Catalog'!$G$6="%",TEXT('KPI Catalog'!$N$6,"0.0%"),IF('KPI Catalog'!$G$6="minutes",TEXT('KPI Catalog'!$N$6,"0")&amp;" min",IF('KPI Catalog'!$G$6="seconds",TEXT('KPI Catalog'!$N$6,"0.0")&amp;" s",IF('KPI Catalog'!$G$6="score",TEXT('KPI Catalog'!$N$6,"0.0")&amp;" / 5",TEXT('KPI Catalog'!$N$6,"0")))))))</f>
        <v>41.0%</v>
      </c>
      <c r="F44" s="13" t="str">
        <f aca="false">IF('KPI Catalog'!$A$6="","",IF('KPI Catalog'!$O$6="","–",IF('KPI Catalog'!$G$6="%",TEXT('KPI Catalog'!$O$6,"0.0%"),IF('KPI Catalog'!$G$6="minutes",TEXT('KPI Catalog'!$O$6,"0")&amp;" min",IF('KPI Catalog'!$G$6="seconds",TEXT('KPI Catalog'!$O$6,"0.0")&amp;" s",IF('KPI Catalog'!$G$6="score",TEXT('KPI Catalog'!$O$6,"0.0")&amp;" / 5",TEXT('KPI Catalog'!$O$6,"0")))))))</f>
        <v>48.0%</v>
      </c>
      <c r="G44" s="13" t="str">
        <f aca="false">IF('KPI Catalog'!$A$6="","",IF('KPI Catalog'!$Q$6="","–",IF('KPI Catalog'!$G$6="%",TEXT('KPI Catalog'!$Q$6,"0.0%"),IF('KPI Catalog'!$G$6="minutes",TEXT('KPI Catalog'!$Q$6,"0")&amp;" min",IF('KPI Catalog'!$G$6="seconds",TEXT('KPI Catalog'!$Q$6,"0.0")&amp;" s",IF('KPI Catalog'!$G$6="score",TEXT('KPI Catalog'!$Q$6,"0.0")&amp;" / 5",TEXT('KPI Catalog'!$Q$6,"0")))))))</f>
        <v>–</v>
      </c>
      <c r="H44" s="13" t="str">
        <f aca="false">'KPI Catalog'!$R$6</f>
        <v>Not live yet</v>
      </c>
      <c r="I44" s="13" t="str">
        <f aca="false">'KPI Catalog'!$X$6</f>
        <v>At risk</v>
      </c>
      <c r="J44" s="12" t="str">
        <f aca="false">'KPI Catalog'!$M$6</f>
        <v>Finance Lead</v>
      </c>
    </row>
    <row r="45" customFormat="false" ht="30" hidden="false" customHeight="true" outlineLevel="0" collapsed="false">
      <c r="B45" s="13" t="str">
        <f aca="false">'KPI Catalog'!$A$7</f>
        <v>KPI-03</v>
      </c>
      <c r="C45" s="13" t="str">
        <f aca="false">'KPI Catalog'!$B$7</f>
        <v>Outcome</v>
      </c>
      <c r="D45" s="12" t="str">
        <f aca="false">'KPI Catalog'!$C$7</f>
        <v>On-time response rate</v>
      </c>
      <c r="E45" s="13" t="str">
        <f aca="false">IF('KPI Catalog'!$A$7="","",IF('KPI Catalog'!$N$7="","–",IF('KPI Catalog'!$G$7="%",TEXT('KPI Catalog'!$N$7,"0.0%"),IF('KPI Catalog'!$G$7="minutes",TEXT('KPI Catalog'!$N$7,"0")&amp;" min",IF('KPI Catalog'!$G$7="seconds",TEXT('KPI Catalog'!$N$7,"0.0")&amp;" s",IF('KPI Catalog'!$G$7="score",TEXT('KPI Catalog'!$N$7,"0.0")&amp;" / 5",TEXT('KPI Catalog'!$N$7,"0")))))))</f>
        <v>78.0%</v>
      </c>
      <c r="F45" s="13" t="str">
        <f aca="false">IF('KPI Catalog'!$A$7="","",IF('KPI Catalog'!$O$7="","–",IF('KPI Catalog'!$G$7="%",TEXT('KPI Catalog'!$O$7,"0.0%"),IF('KPI Catalog'!$G$7="minutes",TEXT('KPI Catalog'!$O$7,"0")&amp;" min",IF('KPI Catalog'!$G$7="seconds",TEXT('KPI Catalog'!$O$7,"0.0")&amp;" s",IF('KPI Catalog'!$G$7="score",TEXT('KPI Catalog'!$O$7,"0.0")&amp;" / 5",TEXT('KPI Catalog'!$O$7,"0")))))))</f>
        <v>95.0%</v>
      </c>
      <c r="G45" s="13" t="str">
        <f aca="false">IF('KPI Catalog'!$A$7="","",IF('KPI Catalog'!$Q$7="","–",IF('KPI Catalog'!$G$7="%",TEXT('KPI Catalog'!$Q$7,"0.0%"),IF('KPI Catalog'!$G$7="minutes",TEXT('KPI Catalog'!$Q$7,"0")&amp;" min",IF('KPI Catalog'!$G$7="seconds",TEXT('KPI Catalog'!$Q$7,"0.0")&amp;" s",IF('KPI Catalog'!$G$7="score",TEXT('KPI Catalog'!$Q$7,"0.0")&amp;" / 5",TEXT('KPI Catalog'!$Q$7,"0")))))))</f>
        <v>–</v>
      </c>
      <c r="H45" s="13" t="str">
        <f aca="false">'KPI Catalog'!$R$7</f>
        <v>Not live yet</v>
      </c>
      <c r="I45" s="13" t="str">
        <f aca="false">'KPI Catalog'!$X$7</f>
        <v>In progress</v>
      </c>
      <c r="J45" s="12" t="str">
        <f aca="false">'KPI Catalog'!$M$7</f>
        <v>Dispute Ops Lead</v>
      </c>
    </row>
    <row r="46" customFormat="false" ht="30" hidden="false" customHeight="true" outlineLevel="0" collapsed="false">
      <c r="B46" s="13" t="str">
        <f aca="false">'KPI Catalog'!$A$8</f>
        <v>KPI-04</v>
      </c>
      <c r="C46" s="13" t="str">
        <f aca="false">'KPI Catalog'!$B$8</f>
        <v>Outcome</v>
      </c>
      <c r="D46" s="12" t="str">
        <f aca="false">'KPI Catalog'!$C$8</f>
        <v>Missed-deadline loss rate</v>
      </c>
      <c r="E46" s="13" t="str">
        <f aca="false">IF('KPI Catalog'!$A$8="","",IF('KPI Catalog'!$N$8="","–",IF('KPI Catalog'!$G$8="%",TEXT('KPI Catalog'!$N$8,"0.0%"),IF('KPI Catalog'!$G$8="minutes",TEXT('KPI Catalog'!$N$8,"0")&amp;" min",IF('KPI Catalog'!$G$8="seconds",TEXT('KPI Catalog'!$N$8,"0.0")&amp;" s",IF('KPI Catalog'!$G$8="score",TEXT('KPI Catalog'!$N$8,"0.0")&amp;" / 5",TEXT('KPI Catalog'!$N$8,"0")))))))</f>
        <v>9.0%</v>
      </c>
      <c r="F46" s="13" t="str">
        <f aca="false">IF('KPI Catalog'!$A$8="","",IF('KPI Catalog'!$O$8="","–",IF('KPI Catalog'!$G$8="%",TEXT('KPI Catalog'!$O$8,"0.0%"),IF('KPI Catalog'!$G$8="minutes",TEXT('KPI Catalog'!$O$8,"0")&amp;" min",IF('KPI Catalog'!$G$8="seconds",TEXT('KPI Catalog'!$O$8,"0.0")&amp;" s",IF('KPI Catalog'!$G$8="score",TEXT('KPI Catalog'!$O$8,"0.0")&amp;" / 5",TEXT('KPI Catalog'!$O$8,"0")))))))</f>
        <v>3.0%</v>
      </c>
      <c r="G46" s="13" t="str">
        <f aca="false">IF('KPI Catalog'!$A$8="","",IF('KPI Catalog'!$Q$8="","–",IF('KPI Catalog'!$G$8="%",TEXT('KPI Catalog'!$Q$8,"0.0%"),IF('KPI Catalog'!$G$8="minutes",TEXT('KPI Catalog'!$Q$8,"0")&amp;" min",IF('KPI Catalog'!$G$8="seconds",TEXT('KPI Catalog'!$Q$8,"0.0")&amp;" s",IF('KPI Catalog'!$G$8="score",TEXT('KPI Catalog'!$Q$8,"0.0")&amp;" / 5",TEXT('KPI Catalog'!$Q$8,"0")))))))</f>
        <v>–</v>
      </c>
      <c r="H46" s="13" t="str">
        <f aca="false">'KPI Catalog'!$R$8</f>
        <v>Not live yet</v>
      </c>
      <c r="I46" s="13" t="str">
        <f aca="false">'KPI Catalog'!$X$8</f>
        <v>In progress</v>
      </c>
      <c r="J46" s="12" t="str">
        <f aca="false">'KPI Catalog'!$M$8</f>
        <v>Dispute Ops Lead</v>
      </c>
    </row>
    <row r="47" customFormat="false" ht="30" hidden="false" customHeight="true" outlineLevel="0" collapsed="false">
      <c r="B47" s="13" t="str">
        <f aca="false">'KPI Catalog'!$A$9</f>
        <v>KPI-05</v>
      </c>
      <c r="C47" s="13" t="str">
        <f aca="false">'KPI Catalog'!$B$9</f>
        <v>Outcome</v>
      </c>
      <c r="D47" s="12" t="str">
        <f aca="false">'KPI Catalog'!$C$9</f>
        <v>Average ops handling time per dispute</v>
      </c>
      <c r="E47" s="13" t="str">
        <f aca="false">IF('KPI Catalog'!$A$9="","",IF('KPI Catalog'!$N$9="","–",IF('KPI Catalog'!$G$9="%",TEXT('KPI Catalog'!$N$9,"0.0%"),IF('KPI Catalog'!$G$9="minutes",TEXT('KPI Catalog'!$N$9,"0")&amp;" min",IF('KPI Catalog'!$G$9="seconds",TEXT('KPI Catalog'!$N$9,"0.0")&amp;" s",IF('KPI Catalog'!$G$9="score",TEXT('KPI Catalog'!$N$9,"0.0")&amp;" / 5",TEXT('KPI Catalog'!$N$9,"0")))))))</f>
        <v>42 min</v>
      </c>
      <c r="F47" s="13" t="str">
        <f aca="false">IF('KPI Catalog'!$A$9="","",IF('KPI Catalog'!$O$9="","–",IF('KPI Catalog'!$G$9="%",TEXT('KPI Catalog'!$O$9,"0.0%"),IF('KPI Catalog'!$G$9="minutes",TEXT('KPI Catalog'!$O$9,"0")&amp;" min",IF('KPI Catalog'!$G$9="seconds",TEXT('KPI Catalog'!$O$9,"0.0")&amp;" s",IF('KPI Catalog'!$G$9="score",TEXT('KPI Catalog'!$O$9,"0.0")&amp;" / 5",TEXT('KPI Catalog'!$O$9,"0")))))))</f>
        <v>25 min</v>
      </c>
      <c r="G47" s="13" t="str">
        <f aca="false">IF('KPI Catalog'!$A$9="","",IF('KPI Catalog'!$Q$9="","–",IF('KPI Catalog'!$G$9="%",TEXT('KPI Catalog'!$Q$9,"0.0%"),IF('KPI Catalog'!$G$9="minutes",TEXT('KPI Catalog'!$Q$9,"0")&amp;" min",IF('KPI Catalog'!$G$9="seconds",TEXT('KPI Catalog'!$Q$9,"0.0")&amp;" s",IF('KPI Catalog'!$G$9="score",TEXT('KPI Catalog'!$Q$9,"0.0")&amp;" / 5",TEXT('KPI Catalog'!$Q$9,"0")))))))</f>
        <v>–</v>
      </c>
      <c r="H47" s="13" t="str">
        <f aca="false">'KPI Catalog'!$R$9</f>
        <v>Not live yet</v>
      </c>
      <c r="I47" s="13" t="str">
        <f aca="false">'KPI Catalog'!$X$9</f>
        <v>Ready</v>
      </c>
      <c r="J47" s="12" t="str">
        <f aca="false">'KPI Catalog'!$M$9</f>
        <v>Dispute Ops Lead</v>
      </c>
    </row>
    <row r="48" customFormat="false" ht="30" hidden="false" customHeight="true" outlineLevel="0" collapsed="false">
      <c r="B48" s="13" t="str">
        <f aca="false">'KPI Catalog'!$A$10</f>
        <v>KPI-06</v>
      </c>
      <c r="C48" s="13" t="str">
        <f aca="false">'KPI Catalog'!$B$10</f>
        <v>Outcome</v>
      </c>
      <c r="D48" s="12" t="str">
        <f aca="false">'KPI Catalog'!$C$10</f>
        <v>Portal evidence submission share</v>
      </c>
      <c r="E48" s="13" t="str">
        <f aca="false">IF('KPI Catalog'!$A$10="","",IF('KPI Catalog'!$N$10="","–",IF('KPI Catalog'!$G$10="%",TEXT('KPI Catalog'!$N$10,"0.0%"),IF('KPI Catalog'!$G$10="minutes",TEXT('KPI Catalog'!$N$10,"0")&amp;" min",IF('KPI Catalog'!$G$10="seconds",TEXT('KPI Catalog'!$N$10,"0.0")&amp;" s",IF('KPI Catalog'!$G$10="score",TEXT('KPI Catalog'!$N$10,"0.0")&amp;" / 5",TEXT('KPI Catalog'!$N$10,"0")))))))</f>
        <v>0.0%</v>
      </c>
      <c r="F48" s="13" t="str">
        <f aca="false">IF('KPI Catalog'!$A$10="","",IF('KPI Catalog'!$O$10="","–",IF('KPI Catalog'!$G$10="%",TEXT('KPI Catalog'!$O$10,"0.0%"),IF('KPI Catalog'!$G$10="minutes",TEXT('KPI Catalog'!$O$10,"0")&amp;" min",IF('KPI Catalog'!$G$10="seconds",TEXT('KPI Catalog'!$O$10,"0.0")&amp;" s",IF('KPI Catalog'!$G$10="score",TEXT('KPI Catalog'!$O$10,"0.0")&amp;" / 5",TEXT('KPI Catalog'!$O$10,"0")))))))</f>
        <v>70.0%</v>
      </c>
      <c r="G48" s="13" t="str">
        <f aca="false">IF('KPI Catalog'!$A$10="","",IF('KPI Catalog'!$Q$10="","–",IF('KPI Catalog'!$G$10="%",TEXT('KPI Catalog'!$Q$10,"0.0%"),IF('KPI Catalog'!$G$10="minutes",TEXT('KPI Catalog'!$Q$10,"0")&amp;" min",IF('KPI Catalog'!$G$10="seconds",TEXT('KPI Catalog'!$Q$10,"0.0")&amp;" s",IF('KPI Catalog'!$G$10="score",TEXT('KPI Catalog'!$Q$10,"0.0")&amp;" / 5",TEXT('KPI Catalog'!$Q$10,"0")))))))</f>
        <v>–</v>
      </c>
      <c r="H48" s="13" t="str">
        <f aca="false">'KPI Catalog'!$R$10</f>
        <v>Not live yet</v>
      </c>
      <c r="I48" s="13" t="str">
        <f aca="false">'KPI Catalog'!$X$10</f>
        <v>In progress</v>
      </c>
      <c r="J48" s="12" t="str">
        <f aca="false">'KPI Catalog'!$M$10</f>
        <v>Product Owner</v>
      </c>
    </row>
    <row r="49" customFormat="false" ht="30" hidden="false" customHeight="true" outlineLevel="0" collapsed="false">
      <c r="B49" s="13" t="str">
        <f aca="false">'KPI Catalog'!$A$11</f>
        <v>KPI-07</v>
      </c>
      <c r="C49" s="13" t="str">
        <f aca="false">'KPI Catalog'!$B$11</f>
        <v>Outcome</v>
      </c>
      <c r="D49" s="12" t="str">
        <f aca="false">'KPI Catalog'!$C$11</f>
        <v>Settlement support contacts per 100 merchants</v>
      </c>
      <c r="E49" s="13" t="str">
        <f aca="false">IF('KPI Catalog'!$A$11="","",IF('KPI Catalog'!$N$11="","–",IF('KPI Catalog'!$G$11="%",TEXT('KPI Catalog'!$N$11,"0.0%"),IF('KPI Catalog'!$G$11="minutes",TEXT('KPI Catalog'!$N$11,"0")&amp;" min",IF('KPI Catalog'!$G$11="seconds",TEXT('KPI Catalog'!$N$11,"0.0")&amp;" s",IF('KPI Catalog'!$G$11="score",TEXT('KPI Catalog'!$N$11,"0.0")&amp;" / 5",TEXT('KPI Catalog'!$N$11,"0")))))))</f>
        <v>14</v>
      </c>
      <c r="F49" s="13" t="str">
        <f aca="false">IF('KPI Catalog'!$A$11="","",IF('KPI Catalog'!$O$11="","–",IF('KPI Catalog'!$G$11="%",TEXT('KPI Catalog'!$O$11,"0.0%"),IF('KPI Catalog'!$G$11="minutes",TEXT('KPI Catalog'!$O$11,"0")&amp;" min",IF('KPI Catalog'!$G$11="seconds",TEXT('KPI Catalog'!$O$11,"0.0")&amp;" s",IF('KPI Catalog'!$G$11="score",TEXT('KPI Catalog'!$O$11,"0.0")&amp;" / 5",TEXT('KPI Catalog'!$O$11,"0")))))))</f>
        <v>8</v>
      </c>
      <c r="G49" s="13" t="str">
        <f aca="false">IF('KPI Catalog'!$A$11="","",IF('KPI Catalog'!$Q$11="","–",IF('KPI Catalog'!$G$11="%",TEXT('KPI Catalog'!$Q$11,"0.0%"),IF('KPI Catalog'!$G$11="minutes",TEXT('KPI Catalog'!$Q$11,"0")&amp;" min",IF('KPI Catalog'!$G$11="seconds",TEXT('KPI Catalog'!$Q$11,"0.0")&amp;" s",IF('KPI Catalog'!$G$11="score",TEXT('KPI Catalog'!$Q$11,"0.0")&amp;" / 5",TEXT('KPI Catalog'!$Q$11,"0")))))))</f>
        <v>–</v>
      </c>
      <c r="H49" s="13" t="str">
        <f aca="false">'KPI Catalog'!$R$11</f>
        <v>Not live yet</v>
      </c>
      <c r="I49" s="13" t="str">
        <f aca="false">'KPI Catalog'!$X$11</f>
        <v>Needs approval</v>
      </c>
      <c r="J49" s="12" t="str">
        <f aca="false">'KPI Catalog'!$M$11</f>
        <v>Finance Lead</v>
      </c>
    </row>
    <row r="50" customFormat="false" ht="30" hidden="false" customHeight="true" outlineLevel="0" collapsed="false">
      <c r="B50" s="13" t="str">
        <f aca="false">'KPI Catalog'!$A$12</f>
        <v>KPI-08</v>
      </c>
      <c r="C50" s="13" t="str">
        <f aca="false">'KPI Catalog'!$B$12</f>
        <v>Leading</v>
      </c>
      <c r="D50" s="12" t="str">
        <f aca="false">'KPI Catalog'!$C$12</f>
        <v>Pilot merchant activation rate</v>
      </c>
      <c r="E50" s="13" t="str">
        <f aca="false">IF('KPI Catalog'!$A$12="","",IF('KPI Catalog'!$N$12="","–",IF('KPI Catalog'!$G$12="%",TEXT('KPI Catalog'!$N$12,"0.0%"),IF('KPI Catalog'!$G$12="minutes",TEXT('KPI Catalog'!$N$12,"0")&amp;" min",IF('KPI Catalog'!$G$12="seconds",TEXT('KPI Catalog'!$N$12,"0.0")&amp;" s",IF('KPI Catalog'!$G$12="score",TEXT('KPI Catalog'!$N$12,"0.0")&amp;" / 5",TEXT('KPI Catalog'!$N$12,"0")))))))</f>
        <v>–</v>
      </c>
      <c r="F50" s="13" t="str">
        <f aca="false">IF('KPI Catalog'!$A$12="","",IF('KPI Catalog'!$O$12="","–",IF('KPI Catalog'!$G$12="%",TEXT('KPI Catalog'!$O$12,"0.0%"),IF('KPI Catalog'!$G$12="minutes",TEXT('KPI Catalog'!$O$12,"0")&amp;" min",IF('KPI Catalog'!$G$12="seconds",TEXT('KPI Catalog'!$O$12,"0.0")&amp;" s",IF('KPI Catalog'!$G$12="score",TEXT('KPI Catalog'!$O$12,"0.0")&amp;" / 5",TEXT('KPI Catalog'!$O$12,"0")))))))</f>
        <v>60.0%</v>
      </c>
      <c r="G50" s="13" t="str">
        <f aca="false">IF('KPI Catalog'!$A$12="","",IF('KPI Catalog'!$Q$12="","–",IF('KPI Catalog'!$G$12="%",TEXT('KPI Catalog'!$Q$12,"0.0%"),IF('KPI Catalog'!$G$12="minutes",TEXT('KPI Catalog'!$Q$12,"0")&amp;" min",IF('KPI Catalog'!$G$12="seconds",TEXT('KPI Catalog'!$Q$12,"0.0")&amp;" s",IF('KPI Catalog'!$G$12="score",TEXT('KPI Catalog'!$Q$12,"0.0")&amp;" / 5",TEXT('KPI Catalog'!$Q$12,"0")))))))</f>
        <v>–</v>
      </c>
      <c r="H50" s="13" t="str">
        <f aca="false">'KPI Catalog'!$R$12</f>
        <v>Not live yet</v>
      </c>
      <c r="I50" s="13" t="str">
        <f aca="false">'KPI Catalog'!$X$12</f>
        <v>At risk</v>
      </c>
      <c r="J50" s="12" t="str">
        <f aca="false">'KPI Catalog'!$M$12</f>
        <v>Product Owner</v>
      </c>
    </row>
    <row r="51" customFormat="false" ht="30" hidden="false" customHeight="true" outlineLevel="0" collapsed="false">
      <c r="B51" s="13" t="str">
        <f aca="false">'KPI Catalog'!$A$13</f>
        <v>KPI-09</v>
      </c>
      <c r="C51" s="13" t="str">
        <f aca="false">'KPI Catalog'!$B$13</f>
        <v>Leading</v>
      </c>
      <c r="D51" s="12" t="str">
        <f aca="false">'KPI Catalog'!$C$13</f>
        <v>Weekly active user rate</v>
      </c>
      <c r="E51" s="13" t="str">
        <f aca="false">IF('KPI Catalog'!$A$13="","",IF('KPI Catalog'!$N$13="","–",IF('KPI Catalog'!$G$13="%",TEXT('KPI Catalog'!$N$13,"0.0%"),IF('KPI Catalog'!$G$13="minutes",TEXT('KPI Catalog'!$N$13,"0")&amp;" min",IF('KPI Catalog'!$G$13="seconds",TEXT('KPI Catalog'!$N$13,"0.0")&amp;" s",IF('KPI Catalog'!$G$13="score",TEXT('KPI Catalog'!$N$13,"0.0")&amp;" / 5",TEXT('KPI Catalog'!$N$13,"0")))))))</f>
        <v>–</v>
      </c>
      <c r="F51" s="13" t="str">
        <f aca="false">IF('KPI Catalog'!$A$13="","",IF('KPI Catalog'!$O$13="","–",IF('KPI Catalog'!$G$13="%",TEXT('KPI Catalog'!$O$13,"0.0%"),IF('KPI Catalog'!$G$13="minutes",TEXT('KPI Catalog'!$O$13,"0")&amp;" min",IF('KPI Catalog'!$G$13="seconds",TEXT('KPI Catalog'!$O$13,"0.0")&amp;" s",IF('KPI Catalog'!$G$13="score",TEXT('KPI Catalog'!$O$13,"0.0")&amp;" / 5",TEXT('KPI Catalog'!$O$13,"0")))))))</f>
        <v>60.0%</v>
      </c>
      <c r="G51" s="13" t="str">
        <f aca="false">IF('KPI Catalog'!$A$13="","",IF('KPI Catalog'!$Q$13="","–",IF('KPI Catalog'!$G$13="%",TEXT('KPI Catalog'!$Q$13,"0.0%"),IF('KPI Catalog'!$G$13="minutes",TEXT('KPI Catalog'!$Q$13,"0")&amp;" min",IF('KPI Catalog'!$G$13="seconds",TEXT('KPI Catalog'!$Q$13,"0.0")&amp;" s",IF('KPI Catalog'!$G$13="score",TEXT('KPI Catalog'!$Q$13,"0.0")&amp;" / 5",TEXT('KPI Catalog'!$Q$13,"0")))))))</f>
        <v>–</v>
      </c>
      <c r="H51" s="13" t="str">
        <f aca="false">'KPI Catalog'!$R$13</f>
        <v>Not live yet</v>
      </c>
      <c r="I51" s="13" t="str">
        <f aca="false">'KPI Catalog'!$X$13</f>
        <v>At risk</v>
      </c>
      <c r="J51" s="12" t="str">
        <f aca="false">'KPI Catalog'!$M$13</f>
        <v>Product Owner</v>
      </c>
    </row>
    <row r="52" customFormat="false" ht="30" hidden="false" customHeight="true" outlineLevel="0" collapsed="false">
      <c r="B52" s="13" t="str">
        <f aca="false">'KPI Catalog'!$A$14</f>
        <v>KPI-10</v>
      </c>
      <c r="C52" s="13" t="str">
        <f aca="false">'KPI Catalog'!$B$14</f>
        <v>Leading</v>
      </c>
      <c r="D52" s="12" t="str">
        <f aca="false">'KPI Catalog'!$C$14</f>
        <v>Evidence submission completion rate</v>
      </c>
      <c r="E52" s="13" t="str">
        <f aca="false">IF('KPI Catalog'!$A$14="","",IF('KPI Catalog'!$N$14="","–",IF('KPI Catalog'!$G$14="%",TEXT('KPI Catalog'!$N$14,"0.0%"),IF('KPI Catalog'!$G$14="minutes",TEXT('KPI Catalog'!$N$14,"0")&amp;" min",IF('KPI Catalog'!$G$14="seconds",TEXT('KPI Catalog'!$N$14,"0.0")&amp;" s",IF('KPI Catalog'!$G$14="score",TEXT('KPI Catalog'!$N$14,"0.0")&amp;" / 5",TEXT('KPI Catalog'!$N$14,"0")))))))</f>
        <v>–</v>
      </c>
      <c r="F52" s="13" t="str">
        <f aca="false">IF('KPI Catalog'!$A$14="","",IF('KPI Catalog'!$O$14="","–",IF('KPI Catalog'!$G$14="%",TEXT('KPI Catalog'!$O$14,"0.0%"),IF('KPI Catalog'!$G$14="minutes",TEXT('KPI Catalog'!$O$14,"0")&amp;" min",IF('KPI Catalog'!$G$14="seconds",TEXT('KPI Catalog'!$O$14,"0.0")&amp;" s",IF('KPI Catalog'!$G$14="score",TEXT('KPI Catalog'!$O$14,"0.0")&amp;" / 5",TEXT('KPI Catalog'!$O$14,"0")))))))</f>
        <v>85.0%</v>
      </c>
      <c r="G52" s="13" t="str">
        <f aca="false">IF('KPI Catalog'!$A$14="","",IF('KPI Catalog'!$Q$14="","–",IF('KPI Catalog'!$G$14="%",TEXT('KPI Catalog'!$Q$14,"0.0%"),IF('KPI Catalog'!$G$14="minutes",TEXT('KPI Catalog'!$Q$14,"0")&amp;" min",IF('KPI Catalog'!$G$14="seconds",TEXT('KPI Catalog'!$Q$14,"0.0")&amp;" s",IF('KPI Catalog'!$G$14="score",TEXT('KPI Catalog'!$Q$14,"0.0")&amp;" / 5",TEXT('KPI Catalog'!$Q$14,"0")))))))</f>
        <v>–</v>
      </c>
      <c r="H52" s="13" t="str">
        <f aca="false">'KPI Catalog'!$R$14</f>
        <v>Not live yet</v>
      </c>
      <c r="I52" s="13" t="str">
        <f aca="false">'KPI Catalog'!$X$14</f>
        <v>At risk</v>
      </c>
      <c r="J52" s="12" t="str">
        <f aca="false">'KPI Catalog'!$M$14</f>
        <v>Product Owner</v>
      </c>
    </row>
    <row r="53" customFormat="false" ht="30" hidden="false" customHeight="true" outlineLevel="0" collapsed="false">
      <c r="B53" s="13" t="str">
        <f aca="false">'KPI Catalog'!$A$15</f>
        <v>KPI-11</v>
      </c>
      <c r="C53" s="13" t="str">
        <f aca="false">'KPI Catalog'!$B$15</f>
        <v>Leading</v>
      </c>
      <c r="D53" s="12" t="str">
        <f aca="false">'KPI Catalog'!$C$15</f>
        <v>Onboarding guide completion rate</v>
      </c>
      <c r="E53" s="13" t="str">
        <f aca="false">IF('KPI Catalog'!$A$15="","",IF('KPI Catalog'!$N$15="","–",IF('KPI Catalog'!$G$15="%",TEXT('KPI Catalog'!$N$15,"0.0%"),IF('KPI Catalog'!$G$15="minutes",TEXT('KPI Catalog'!$N$15,"0")&amp;" min",IF('KPI Catalog'!$G$15="seconds",TEXT('KPI Catalog'!$N$15,"0.0")&amp;" s",IF('KPI Catalog'!$G$15="score",TEXT('KPI Catalog'!$N$15,"0.0")&amp;" / 5",TEXT('KPI Catalog'!$N$15,"0")))))))</f>
        <v>–</v>
      </c>
      <c r="F53" s="13" t="str">
        <f aca="false">IF('KPI Catalog'!$A$15="","",IF('KPI Catalog'!$O$15="","–",IF('KPI Catalog'!$G$15="%",TEXT('KPI Catalog'!$O$15,"0.0%"),IF('KPI Catalog'!$G$15="minutes",TEXT('KPI Catalog'!$O$15,"0")&amp;" min",IF('KPI Catalog'!$G$15="seconds",TEXT('KPI Catalog'!$O$15,"0.0")&amp;" s",IF('KPI Catalog'!$G$15="score",TEXT('KPI Catalog'!$O$15,"0.0")&amp;" / 5",TEXT('KPI Catalog'!$O$15,"0")))))))</f>
        <v>70.0%</v>
      </c>
      <c r="G53" s="13" t="str">
        <f aca="false">IF('KPI Catalog'!$A$15="","",IF('KPI Catalog'!$Q$15="","–",IF('KPI Catalog'!$G$15="%",TEXT('KPI Catalog'!$Q$15,"0.0%"),IF('KPI Catalog'!$G$15="minutes",TEXT('KPI Catalog'!$Q$15,"0")&amp;" min",IF('KPI Catalog'!$G$15="seconds",TEXT('KPI Catalog'!$Q$15,"0.0")&amp;" s",IF('KPI Catalog'!$G$15="score",TEXT('KPI Catalog'!$Q$15,"0.0")&amp;" / 5",TEXT('KPI Catalog'!$Q$15,"0")))))))</f>
        <v>–</v>
      </c>
      <c r="H53" s="13" t="str">
        <f aca="false">'KPI Catalog'!$R$15</f>
        <v>Not live yet</v>
      </c>
      <c r="I53" s="13" t="str">
        <f aca="false">'KPI Catalog'!$X$15</f>
        <v>At risk</v>
      </c>
      <c r="J53" s="12" t="str">
        <f aca="false">'KPI Catalog'!$M$15</f>
        <v>Product Owner</v>
      </c>
    </row>
    <row r="54" customFormat="false" ht="30" hidden="false" customHeight="true" outlineLevel="0" collapsed="false">
      <c r="B54" s="13" t="str">
        <f aca="false">'KPI Catalog'!$A$16</f>
        <v>KPI-12</v>
      </c>
      <c r="C54" s="13" t="str">
        <f aca="false">'KPI Catalog'!$B$16</f>
        <v>Guardrail</v>
      </c>
      <c r="D54" s="12" t="str">
        <f aca="false">'KPI Catalog'!$C$16</f>
        <v>Status sync latency (95th percentile)</v>
      </c>
      <c r="E54" s="13" t="str">
        <f aca="false">IF('KPI Catalog'!$A$16="","",IF('KPI Catalog'!$N$16="","–",IF('KPI Catalog'!$G$16="%",TEXT('KPI Catalog'!$N$16,"0.0%"),IF('KPI Catalog'!$G$16="minutes",TEXT('KPI Catalog'!$N$16,"0")&amp;" min",IF('KPI Catalog'!$G$16="seconds",TEXT('KPI Catalog'!$N$16,"0.0")&amp;" s",IF('KPI Catalog'!$G$16="score",TEXT('KPI Catalog'!$N$16,"0.0")&amp;" / 5",TEXT('KPI Catalog'!$N$16,"0")))))))</f>
        <v>–</v>
      </c>
      <c r="F54" s="13" t="str">
        <f aca="false">IF('KPI Catalog'!$A$16="","",IF('KPI Catalog'!$O$16="","–",IF('KPI Catalog'!$G$16="%",TEXT('KPI Catalog'!$O$16,"0.0%"),IF('KPI Catalog'!$G$16="minutes",TEXT('KPI Catalog'!$O$16,"0")&amp;" min",IF('KPI Catalog'!$G$16="seconds",TEXT('KPI Catalog'!$O$16,"0.0")&amp;" s",IF('KPI Catalog'!$G$16="score",TEXT('KPI Catalog'!$O$16,"0.0")&amp;" / 5",TEXT('KPI Catalog'!$O$16,"0")))))))</f>
        <v>5 min</v>
      </c>
      <c r="G54" s="13" t="str">
        <f aca="false">IF('KPI Catalog'!$A$16="","",IF('KPI Catalog'!$Q$16="","–",IF('KPI Catalog'!$G$16="%",TEXT('KPI Catalog'!$Q$16,"0.0%"),IF('KPI Catalog'!$G$16="minutes",TEXT('KPI Catalog'!$Q$16,"0")&amp;" min",IF('KPI Catalog'!$G$16="seconds",TEXT('KPI Catalog'!$Q$16,"0.0")&amp;" s",IF('KPI Catalog'!$G$16="score",TEXT('KPI Catalog'!$Q$16,"0.0")&amp;" / 5",TEXT('KPI Catalog'!$Q$16,"0")))))))</f>
        <v>–</v>
      </c>
      <c r="H54" s="13" t="str">
        <f aca="false">'KPI Catalog'!$R$16</f>
        <v>Not live yet</v>
      </c>
      <c r="I54" s="13" t="str">
        <f aca="false">'KPI Catalog'!$X$16</f>
        <v>In progress</v>
      </c>
      <c r="J54" s="12" t="str">
        <f aca="false">'KPI Catalog'!$M$16</f>
        <v>Tech Lead</v>
      </c>
    </row>
    <row r="55" customFormat="false" ht="30" hidden="false" customHeight="true" outlineLevel="0" collapsed="false">
      <c r="B55" s="13" t="str">
        <f aca="false">'KPI Catalog'!$A$17</f>
        <v>KPI-13</v>
      </c>
      <c r="C55" s="13" t="str">
        <f aca="false">'KPI Catalog'!$B$17</f>
        <v>Guardrail</v>
      </c>
      <c r="D55" s="12" t="str">
        <f aca="false">'KPI Catalog'!$C$17</f>
        <v>Feed freshness breaches</v>
      </c>
      <c r="E55" s="13" t="str">
        <f aca="false">IF('KPI Catalog'!$A$17="","",IF('KPI Catalog'!$N$17="","–",IF('KPI Catalog'!$G$17="%",TEXT('KPI Catalog'!$N$17,"0.0%"),IF('KPI Catalog'!$G$17="minutes",TEXT('KPI Catalog'!$N$17,"0")&amp;" min",IF('KPI Catalog'!$G$17="seconds",TEXT('KPI Catalog'!$N$17,"0.0")&amp;" s",IF('KPI Catalog'!$G$17="score",TEXT('KPI Catalog'!$N$17,"0.0")&amp;" / 5",TEXT('KPI Catalog'!$N$17,"0")))))))</f>
        <v>–</v>
      </c>
      <c r="F55" s="13" t="str">
        <f aca="false">IF('KPI Catalog'!$A$17="","",IF('KPI Catalog'!$O$17="","–",IF('KPI Catalog'!$G$17="%",TEXT('KPI Catalog'!$O$17,"0.0%"),IF('KPI Catalog'!$G$17="minutes",TEXT('KPI Catalog'!$O$17,"0")&amp;" min",IF('KPI Catalog'!$G$17="seconds",TEXT('KPI Catalog'!$O$17,"0.0")&amp;" s",IF('KPI Catalog'!$G$17="score",TEXT('KPI Catalog'!$O$17,"0.0")&amp;" / 5",TEXT('KPI Catalog'!$O$17,"0")))))))</f>
        <v>0</v>
      </c>
      <c r="G55" s="13" t="str">
        <f aca="false">IF('KPI Catalog'!$A$17="","",IF('KPI Catalog'!$Q$17="","–",IF('KPI Catalog'!$G$17="%",TEXT('KPI Catalog'!$Q$17,"0.0%"),IF('KPI Catalog'!$G$17="minutes",TEXT('KPI Catalog'!$Q$17,"0")&amp;" min",IF('KPI Catalog'!$G$17="seconds",TEXT('KPI Catalog'!$Q$17,"0.0")&amp;" s",IF('KPI Catalog'!$G$17="score",TEXT('KPI Catalog'!$Q$17,"0.0")&amp;" / 5",TEXT('KPI Catalog'!$Q$17,"0")))))))</f>
        <v>–</v>
      </c>
      <c r="H55" s="13" t="str">
        <f aca="false">'KPI Catalog'!$R$17</f>
        <v>Not live yet</v>
      </c>
      <c r="I55" s="13" t="str">
        <f aca="false">'KPI Catalog'!$X$17</f>
        <v>In progress</v>
      </c>
      <c r="J55" s="12" t="str">
        <f aca="false">'KPI Catalog'!$M$17</f>
        <v>Tech Lead</v>
      </c>
    </row>
    <row r="56" customFormat="false" ht="30" hidden="false" customHeight="true" outlineLevel="0" collapsed="false">
      <c r="B56" s="13" t="str">
        <f aca="false">'KPI Catalog'!$A$18</f>
        <v>KPI-14</v>
      </c>
      <c r="C56" s="13" t="str">
        <f aca="false">'KPI Catalog'!$B$18</f>
        <v>Guardrail</v>
      </c>
      <c r="D56" s="12" t="str">
        <f aca="false">'KPI Catalog'!$C$18</f>
        <v>API response time (95th percentile)</v>
      </c>
      <c r="E56" s="13" t="str">
        <f aca="false">IF('KPI Catalog'!$A$18="","",IF('KPI Catalog'!$N$18="","–",IF('KPI Catalog'!$G$18="%",TEXT('KPI Catalog'!$N$18,"0.0%"),IF('KPI Catalog'!$G$18="minutes",TEXT('KPI Catalog'!$N$18,"0")&amp;" min",IF('KPI Catalog'!$G$18="seconds",TEXT('KPI Catalog'!$N$18,"0.0")&amp;" s",IF('KPI Catalog'!$G$18="score",TEXT('KPI Catalog'!$N$18,"0.0")&amp;" / 5",TEXT('KPI Catalog'!$N$18,"0")))))))</f>
        <v>–</v>
      </c>
      <c r="F56" s="13" t="str">
        <f aca="false">IF('KPI Catalog'!$A$18="","",IF('KPI Catalog'!$O$18="","–",IF('KPI Catalog'!$G$18="%",TEXT('KPI Catalog'!$O$18,"0.0%"),IF('KPI Catalog'!$G$18="minutes",TEXT('KPI Catalog'!$O$18,"0")&amp;" min",IF('KPI Catalog'!$G$18="seconds",TEXT('KPI Catalog'!$O$18,"0.0")&amp;" s",IF('KPI Catalog'!$G$18="score",TEXT('KPI Catalog'!$O$18,"0.0")&amp;" / 5",TEXT('KPI Catalog'!$O$18,"0")))))))</f>
        <v>2.0 s</v>
      </c>
      <c r="G56" s="13" t="str">
        <f aca="false">IF('KPI Catalog'!$A$18="","",IF('KPI Catalog'!$Q$18="","–",IF('KPI Catalog'!$G$18="%",TEXT('KPI Catalog'!$Q$18,"0.0%"),IF('KPI Catalog'!$G$18="minutes",TEXT('KPI Catalog'!$Q$18,"0")&amp;" min",IF('KPI Catalog'!$G$18="seconds",TEXT('KPI Catalog'!$Q$18,"0.0")&amp;" s",IF('KPI Catalog'!$G$18="score",TEXT('KPI Catalog'!$Q$18,"0.0")&amp;" / 5",TEXT('KPI Catalog'!$Q$18,"0")))))))</f>
        <v>–</v>
      </c>
      <c r="H56" s="13" t="str">
        <f aca="false">'KPI Catalog'!$R$18</f>
        <v>Not live yet</v>
      </c>
      <c r="I56" s="13" t="str">
        <f aca="false">'KPI Catalog'!$X$18</f>
        <v>In progress</v>
      </c>
      <c r="J56" s="12" t="str">
        <f aca="false">'KPI Catalog'!$M$18</f>
        <v>Tech Lead</v>
      </c>
    </row>
    <row r="57" customFormat="false" ht="30" hidden="false" customHeight="true" outlineLevel="0" collapsed="false">
      <c r="B57" s="13" t="str">
        <f aca="false">'KPI Catalog'!$A$19</f>
        <v>KPI-15</v>
      </c>
      <c r="C57" s="13" t="str">
        <f aca="false">'KPI Catalog'!$B$19</f>
        <v>Guardrail</v>
      </c>
      <c r="D57" s="12" t="str">
        <f aca="false">'KPI Catalog'!$C$19</f>
        <v>Settlement reconciliation variance</v>
      </c>
      <c r="E57" s="13" t="str">
        <f aca="false">IF('KPI Catalog'!$A$19="","",IF('KPI Catalog'!$N$19="","–",IF('KPI Catalog'!$G$19="%",TEXT('KPI Catalog'!$N$19,"0.0%"),IF('KPI Catalog'!$G$19="minutes",TEXT('KPI Catalog'!$N$19,"0")&amp;" min",IF('KPI Catalog'!$G$19="seconds",TEXT('KPI Catalog'!$N$19,"0.0")&amp;" s",IF('KPI Catalog'!$G$19="score",TEXT('KPI Catalog'!$N$19,"0.0")&amp;" / 5",TEXT('KPI Catalog'!$N$19,"0")))))))</f>
        <v>–</v>
      </c>
      <c r="F57" s="13" t="str">
        <f aca="false">IF('KPI Catalog'!$A$19="","",IF('KPI Catalog'!$O$19="","–",IF('KPI Catalog'!$G$19="%",TEXT('KPI Catalog'!$O$19,"0.0%"),IF('KPI Catalog'!$G$19="minutes",TEXT('KPI Catalog'!$O$19,"0")&amp;" min",IF('KPI Catalog'!$G$19="seconds",TEXT('KPI Catalog'!$O$19,"0.0")&amp;" s",IF('KPI Catalog'!$G$19="score",TEXT('KPI Catalog'!$O$19,"0.0")&amp;" / 5",TEXT('KPI Catalog'!$O$19,"0")))))))</f>
        <v>0.5%</v>
      </c>
      <c r="G57" s="13" t="str">
        <f aca="false">IF('KPI Catalog'!$A$19="","",IF('KPI Catalog'!$Q$19="","–",IF('KPI Catalog'!$G$19="%",TEXT('KPI Catalog'!$Q$19,"0.0%"),IF('KPI Catalog'!$G$19="minutes",TEXT('KPI Catalog'!$Q$19,"0")&amp;" min",IF('KPI Catalog'!$G$19="seconds",TEXT('KPI Catalog'!$Q$19,"0.0")&amp;" s",IF('KPI Catalog'!$G$19="score",TEXT('KPI Catalog'!$Q$19,"0.0")&amp;" / 5",TEXT('KPI Catalog'!$Q$19,"0")))))))</f>
        <v>–</v>
      </c>
      <c r="H57" s="13" t="str">
        <f aca="false">'KPI Catalog'!$R$19</f>
        <v>Not live yet</v>
      </c>
      <c r="I57" s="13" t="str">
        <f aca="false">'KPI Catalog'!$X$19</f>
        <v>In progress</v>
      </c>
      <c r="J57" s="12" t="str">
        <f aca="false">'KPI Catalog'!$M$19</f>
        <v>Finance Lead</v>
      </c>
    </row>
    <row r="58" customFormat="false" ht="30" hidden="false" customHeight="true" outlineLevel="0" collapsed="false">
      <c r="B58" s="13" t="str">
        <f aca="false">'KPI Catalog'!$A$20</f>
        <v>KPI-16</v>
      </c>
      <c r="C58" s="13" t="str">
        <f aca="false">'KPI Catalog'!$B$20</f>
        <v>Guardrail</v>
      </c>
      <c r="D58" s="12" t="str">
        <f aca="false">'KPI Catalog'!$C$20</f>
        <v>Card data exposure incidents</v>
      </c>
      <c r="E58" s="13" t="str">
        <f aca="false">IF('KPI Catalog'!$A$20="","",IF('KPI Catalog'!$N$20="","–",IF('KPI Catalog'!$G$20="%",TEXT('KPI Catalog'!$N$20,"0.0%"),IF('KPI Catalog'!$G$20="minutes",TEXT('KPI Catalog'!$N$20,"0")&amp;" min",IF('KPI Catalog'!$G$20="seconds",TEXT('KPI Catalog'!$N$20,"0.0")&amp;" s",IF('KPI Catalog'!$G$20="score",TEXT('KPI Catalog'!$N$20,"0.0")&amp;" / 5",TEXT('KPI Catalog'!$N$20,"0")))))))</f>
        <v>–</v>
      </c>
      <c r="F58" s="13" t="str">
        <f aca="false">IF('KPI Catalog'!$A$20="","",IF('KPI Catalog'!$O$20="","–",IF('KPI Catalog'!$G$20="%",TEXT('KPI Catalog'!$O$20,"0.0%"),IF('KPI Catalog'!$G$20="minutes",TEXT('KPI Catalog'!$O$20,"0")&amp;" min",IF('KPI Catalog'!$G$20="seconds",TEXT('KPI Catalog'!$O$20,"0.0")&amp;" s",IF('KPI Catalog'!$G$20="score",TEXT('KPI Catalog'!$O$20,"0.0")&amp;" / 5",TEXT('KPI Catalog'!$O$20,"0")))))))</f>
        <v>0</v>
      </c>
      <c r="G58" s="13" t="str">
        <f aca="false">IF('KPI Catalog'!$A$20="","",IF('KPI Catalog'!$Q$20="","–",IF('KPI Catalog'!$G$20="%",TEXT('KPI Catalog'!$Q$20,"0.0%"),IF('KPI Catalog'!$G$20="minutes",TEXT('KPI Catalog'!$Q$20,"0")&amp;" min",IF('KPI Catalog'!$G$20="seconds",TEXT('KPI Catalog'!$Q$20,"0.0")&amp;" s",IF('KPI Catalog'!$G$20="score",TEXT('KPI Catalog'!$Q$20,"0.0")&amp;" / 5",TEXT('KPI Catalog'!$Q$20,"0")))))))</f>
        <v>–</v>
      </c>
      <c r="H58" s="13" t="str">
        <f aca="false">'KPI Catalog'!$R$20</f>
        <v>Not live yet</v>
      </c>
      <c r="I58" s="13" t="str">
        <f aca="false">'KPI Catalog'!$X$20</f>
        <v>In progress</v>
      </c>
      <c r="J58" s="12" t="str">
        <f aca="false">'KPI Catalog'!$M$20</f>
        <v>Compliance Lead</v>
      </c>
    </row>
    <row r="59" customFormat="false" ht="30" hidden="false" customHeight="true" outlineLevel="0" collapsed="false">
      <c r="B59" s="13" t="str">
        <f aca="false">'KPI Catalog'!$A$21</f>
        <v>KPI-17</v>
      </c>
      <c r="C59" s="13" t="str">
        <f aca="false">'KPI Catalog'!$B$21</f>
        <v>Guardrail</v>
      </c>
      <c r="D59" s="12" t="str">
        <f aca="false">'KPI Catalog'!$C$21</f>
        <v>Open critical or serious accessibility issues</v>
      </c>
      <c r="E59" s="13" t="str">
        <f aca="false">IF('KPI Catalog'!$A$21="","",IF('KPI Catalog'!$N$21="","–",IF('KPI Catalog'!$G$21="%",TEXT('KPI Catalog'!$N$21,"0.0%"),IF('KPI Catalog'!$G$21="minutes",TEXT('KPI Catalog'!$N$21,"0")&amp;" min",IF('KPI Catalog'!$G$21="seconds",TEXT('KPI Catalog'!$N$21,"0.0")&amp;" s",IF('KPI Catalog'!$G$21="score",TEXT('KPI Catalog'!$N$21,"0.0")&amp;" / 5",TEXT('KPI Catalog'!$N$21,"0")))))))</f>
        <v>–</v>
      </c>
      <c r="F59" s="13" t="str">
        <f aca="false">IF('KPI Catalog'!$A$21="","",IF('KPI Catalog'!$O$21="","–",IF('KPI Catalog'!$G$21="%",TEXT('KPI Catalog'!$O$21,"0.0%"),IF('KPI Catalog'!$G$21="minutes",TEXT('KPI Catalog'!$O$21,"0")&amp;" min",IF('KPI Catalog'!$G$21="seconds",TEXT('KPI Catalog'!$O$21,"0.0")&amp;" s",IF('KPI Catalog'!$G$21="score",TEXT('KPI Catalog'!$O$21,"0.0")&amp;" / 5",TEXT('KPI Catalog'!$O$21,"0")))))))</f>
        <v>0</v>
      </c>
      <c r="G59" s="13" t="str">
        <f aca="false">IF('KPI Catalog'!$A$21="","",IF('KPI Catalog'!$Q$21="","–",IF('KPI Catalog'!$G$21="%",TEXT('KPI Catalog'!$Q$21,"0.0%"),IF('KPI Catalog'!$G$21="minutes",TEXT('KPI Catalog'!$Q$21,"0")&amp;" min",IF('KPI Catalog'!$G$21="seconds",TEXT('KPI Catalog'!$Q$21,"0.0")&amp;" s",IF('KPI Catalog'!$G$21="score",TEXT('KPI Catalog'!$Q$21,"0.0")&amp;" / 5",TEXT('KPI Catalog'!$Q$21,"0")))))))</f>
        <v>–</v>
      </c>
      <c r="H59" s="13" t="str">
        <f aca="false">'KPI Catalog'!$R$21</f>
        <v>Not live yet</v>
      </c>
      <c r="I59" s="13" t="str">
        <f aca="false">'KPI Catalog'!$X$21</f>
        <v>In progress</v>
      </c>
      <c r="J59" s="12" t="str">
        <f aca="false">'KPI Catalog'!$M$21</f>
        <v>UX Designer</v>
      </c>
    </row>
    <row r="60" customFormat="false" ht="30" hidden="false" customHeight="true" outlineLevel="0" collapsed="false">
      <c r="B60" s="13" t="str">
        <f aca="false">'KPI Catalog'!$A$22</f>
        <v>KPI-18</v>
      </c>
      <c r="C60" s="13" t="str">
        <f aca="false">'KPI Catalog'!$B$22</f>
        <v>Outcome</v>
      </c>
      <c r="D60" s="12" t="str">
        <f aca="false">'KPI Catalog'!$C$22</f>
        <v>Merchant satisfaction with dispute handling</v>
      </c>
      <c r="E60" s="13" t="str">
        <f aca="false">IF('KPI Catalog'!$A$22="","",IF('KPI Catalog'!$N$22="","–",IF('KPI Catalog'!$G$22="%",TEXT('KPI Catalog'!$N$22,"0.0%"),IF('KPI Catalog'!$G$22="minutes",TEXT('KPI Catalog'!$N$22,"0")&amp;" min",IF('KPI Catalog'!$G$22="seconds",TEXT('KPI Catalog'!$N$22,"0.0")&amp;" s",IF('KPI Catalog'!$G$22="score",TEXT('KPI Catalog'!$N$22,"0.0")&amp;" / 5",TEXT('KPI Catalog'!$N$22,"0")))))))</f>
        <v>–</v>
      </c>
      <c r="F60" s="13" t="str">
        <f aca="false">IF('KPI Catalog'!$A$22="","",IF('KPI Catalog'!$O$22="","–",IF('KPI Catalog'!$G$22="%",TEXT('KPI Catalog'!$O$22,"0.0%"),IF('KPI Catalog'!$G$22="minutes",TEXT('KPI Catalog'!$O$22,"0")&amp;" min",IF('KPI Catalog'!$G$22="seconds",TEXT('KPI Catalog'!$O$22,"0.0")&amp;" s",IF('KPI Catalog'!$G$22="score",TEXT('KPI Catalog'!$O$22,"0.0")&amp;" / 5",TEXT('KPI Catalog'!$O$22,"0")))))))</f>
        <v>4.2 / 5</v>
      </c>
      <c r="G60" s="13" t="str">
        <f aca="false">IF('KPI Catalog'!$A$22="","",IF('KPI Catalog'!$Q$22="","–",IF('KPI Catalog'!$G$22="%",TEXT('KPI Catalog'!$Q$22,"0.0%"),IF('KPI Catalog'!$G$22="minutes",TEXT('KPI Catalog'!$Q$22,"0")&amp;" min",IF('KPI Catalog'!$G$22="seconds",TEXT('KPI Catalog'!$Q$22,"0.0")&amp;" s",IF('KPI Catalog'!$G$22="score",TEXT('KPI Catalog'!$Q$22,"0.0")&amp;" / 5",TEXT('KPI Catalog'!$Q$22,"0")))))))</f>
        <v>–</v>
      </c>
      <c r="H60" s="13" t="str">
        <f aca="false">'KPI Catalog'!$R$22</f>
        <v>Not live yet</v>
      </c>
      <c r="I60" s="13" t="str">
        <f aca="false">'KPI Catalog'!$X$22</f>
        <v>Needs approval</v>
      </c>
      <c r="J60" s="12" t="str">
        <f aca="false">'KPI Catalog'!$M$22</f>
        <v>Product Owner</v>
      </c>
    </row>
    <row r="61" customFormat="false" ht="30" hidden="false" customHeight="true" outlineLevel="0" collapsed="false">
      <c r="B61" s="13" t="str">
        <f aca="false">'KPI Catalog'!$A$23</f>
        <v>KPI-19</v>
      </c>
      <c r="C61" s="13" t="str">
        <f aca="false">'KPI Catalog'!$B$23</f>
        <v>Outcome</v>
      </c>
      <c r="D61" s="12" t="str">
        <f aca="false">'KPI Catalog'!$C$23</f>
        <v>Disputes resolved before chargeback</v>
      </c>
      <c r="E61" s="13" t="str">
        <f aca="false">IF('KPI Catalog'!$A$23="","",IF('KPI Catalog'!$N$23="","–",IF('KPI Catalog'!$G$23="%",TEXT('KPI Catalog'!$N$23,"0.0%"),IF('KPI Catalog'!$G$23="minutes",TEXT('KPI Catalog'!$N$23,"0")&amp;" min",IF('KPI Catalog'!$G$23="seconds",TEXT('KPI Catalog'!$N$23,"0.0")&amp;" s",IF('KPI Catalog'!$G$23="score",TEXT('KPI Catalog'!$N$23,"0.0")&amp;" / 5",TEXT('KPI Catalog'!$N$23,"0")))))))</f>
        <v>–</v>
      </c>
      <c r="F61" s="13" t="str">
        <f aca="false">IF('KPI Catalog'!$A$23="","",IF('KPI Catalog'!$O$23="","–",IF('KPI Catalog'!$G$23="%",TEXT('KPI Catalog'!$O$23,"0.0%"),IF('KPI Catalog'!$G$23="minutes",TEXT('KPI Catalog'!$O$23,"0")&amp;" min",IF('KPI Catalog'!$G$23="seconds",TEXT('KPI Catalog'!$O$23,"0.0")&amp;" s",IF('KPI Catalog'!$G$23="score",TEXT('KPI Catalog'!$O$23,"0.0")&amp;" / 5",TEXT('KPI Catalog'!$O$23,"0")))))))</f>
        <v>70.0%</v>
      </c>
      <c r="G61" s="13" t="str">
        <f aca="false">IF('KPI Catalog'!$A$23="","",IF('KPI Catalog'!$Q$23="","–",IF('KPI Catalog'!$G$23="%",TEXT('KPI Catalog'!$Q$23,"0.0%"),IF('KPI Catalog'!$G$23="minutes",TEXT('KPI Catalog'!$Q$23,"0")&amp;" min",IF('KPI Catalog'!$G$23="seconds",TEXT('KPI Catalog'!$Q$23,"0.0")&amp;" s",IF('KPI Catalog'!$G$23="score",TEXT('KPI Catalog'!$Q$23,"0.0")&amp;" / 5",TEXT('KPI Catalog'!$Q$23,"0")))))))</f>
        <v>–</v>
      </c>
      <c r="H61" s="13" t="str">
        <f aca="false">'KPI Catalog'!$R$23</f>
        <v>Not live yet</v>
      </c>
      <c r="I61" s="13" t="str">
        <f aca="false">'KPI Catalog'!$X$23</f>
        <v>Needs approval</v>
      </c>
      <c r="J61" s="12" t="str">
        <f aca="false">'KPI Catalog'!$M$23</f>
        <v>Dispute Ops Lead</v>
      </c>
    </row>
    <row r="62" customFormat="false" ht="30" hidden="false" customHeight="true" outlineLevel="0" collapsed="false">
      <c r="B62" s="13" t="str">
        <f aca="false">'KPI Catalog'!$A$24</f>
        <v>KPI-20</v>
      </c>
      <c r="C62" s="13" t="str">
        <f aca="false">'KPI Catalog'!$B$24</f>
        <v>Leading</v>
      </c>
      <c r="D62" s="12" t="str">
        <f aca="false">'KPI Catalog'!$C$24</f>
        <v>AI evidence packet acceptance rate</v>
      </c>
      <c r="E62" s="13" t="str">
        <f aca="false">IF('KPI Catalog'!$A$24="","",IF('KPI Catalog'!$N$24="","–",IF('KPI Catalog'!$G$24="%",TEXT('KPI Catalog'!$N$24,"0.0%"),IF('KPI Catalog'!$G$24="minutes",TEXT('KPI Catalog'!$N$24,"0")&amp;" min",IF('KPI Catalog'!$G$24="seconds",TEXT('KPI Catalog'!$N$24,"0.0")&amp;" s",IF('KPI Catalog'!$G$24="score",TEXT('KPI Catalog'!$N$24,"0.0")&amp;" / 5",TEXT('KPI Catalog'!$N$24,"0")))))))</f>
        <v>–</v>
      </c>
      <c r="F62" s="13" t="str">
        <f aca="false">IF('KPI Catalog'!$A$24="","",IF('KPI Catalog'!$O$24="","–",IF('KPI Catalog'!$G$24="%",TEXT('KPI Catalog'!$O$24,"0.0%"),IF('KPI Catalog'!$G$24="minutes",TEXT('KPI Catalog'!$O$24,"0")&amp;" min",IF('KPI Catalog'!$G$24="seconds",TEXT('KPI Catalog'!$O$24,"0.0")&amp;" s",IF('KPI Catalog'!$G$24="score",TEXT('KPI Catalog'!$O$24,"0.0")&amp;" / 5",TEXT('KPI Catalog'!$O$24,"0")))))))</f>
        <v>75.0%</v>
      </c>
      <c r="G62" s="13" t="str">
        <f aca="false">IF('KPI Catalog'!$A$24="","",IF('KPI Catalog'!$Q$24="","–",IF('KPI Catalog'!$G$24="%",TEXT('KPI Catalog'!$Q$24,"0.0%"),IF('KPI Catalog'!$G$24="minutes",TEXT('KPI Catalog'!$Q$24,"0")&amp;" min",IF('KPI Catalog'!$G$24="seconds",TEXT('KPI Catalog'!$Q$24,"0.0")&amp;" s",IF('KPI Catalog'!$G$24="score",TEXT('KPI Catalog'!$Q$24,"0.0")&amp;" / 5",TEXT('KPI Catalog'!$Q$24,"0")))))))</f>
        <v>–</v>
      </c>
      <c r="H62" s="13" t="str">
        <f aca="false">'KPI Catalog'!$R$24</f>
        <v>Not live yet</v>
      </c>
      <c r="I62" s="13" t="str">
        <f aca="false">'KPI Catalog'!$X$24</f>
        <v>Needs approval</v>
      </c>
      <c r="J62" s="12" t="str">
        <f aca="false">'KPI Catalog'!$M$24</f>
        <v>Product Owner</v>
      </c>
    </row>
    <row r="63" customFormat="false" ht="30" hidden="false" customHeight="true" outlineLevel="0" collapsed="false">
      <c r="B63" s="13" t="str">
        <f aca="false">'KPI Catalog'!$A$25</f>
        <v>KPI-21</v>
      </c>
      <c r="C63" s="13" t="str">
        <f aca="false">'KPI Catalog'!$B$25</f>
        <v>Guardrail</v>
      </c>
      <c r="D63" s="12" t="str">
        <f aca="false">'KPI Catalog'!$C$25</f>
        <v>Merchants near a monitoring threshold</v>
      </c>
      <c r="E63" s="13" t="str">
        <f aca="false">IF('KPI Catalog'!$A$25="","",IF('KPI Catalog'!$N$25="","–",IF('KPI Catalog'!$G$25="%",TEXT('KPI Catalog'!$N$25,"0.0%"),IF('KPI Catalog'!$G$25="minutes",TEXT('KPI Catalog'!$N$25,"0")&amp;" min",IF('KPI Catalog'!$G$25="seconds",TEXT('KPI Catalog'!$N$25,"0.0")&amp;" s",IF('KPI Catalog'!$G$25="score",TEXT('KPI Catalog'!$N$25,"0.0")&amp;" / 5",TEXT('KPI Catalog'!$N$25,"0")))))))</f>
        <v>–</v>
      </c>
      <c r="F63" s="13" t="str">
        <f aca="false">IF('KPI Catalog'!$A$25="","",IF('KPI Catalog'!$O$25="","–",IF('KPI Catalog'!$G$25="%",TEXT('KPI Catalog'!$O$25,"0.0%"),IF('KPI Catalog'!$G$25="minutes",TEXT('KPI Catalog'!$O$25,"0")&amp;" min",IF('KPI Catalog'!$G$25="seconds",TEXT('KPI Catalog'!$O$25,"0.0")&amp;" s",IF('KPI Catalog'!$G$25="score",TEXT('KPI Catalog'!$O$25,"0.0")&amp;" / 5",TEXT('KPI Catalog'!$O$25,"0")))))))</f>
        <v>1.0%</v>
      </c>
      <c r="G63" s="13" t="str">
        <f aca="false">IF('KPI Catalog'!$A$25="","",IF('KPI Catalog'!$Q$25="","–",IF('KPI Catalog'!$G$25="%",TEXT('KPI Catalog'!$Q$25,"0.0%"),IF('KPI Catalog'!$G$25="minutes",TEXT('KPI Catalog'!$Q$25,"0")&amp;" min",IF('KPI Catalog'!$G$25="seconds",TEXT('KPI Catalog'!$Q$25,"0.0")&amp;" s",IF('KPI Catalog'!$G$25="score",TEXT('KPI Catalog'!$Q$25,"0.0")&amp;" / 5",TEXT('KPI Catalog'!$Q$25,"0")))))))</f>
        <v>–</v>
      </c>
      <c r="H63" s="13" t="str">
        <f aca="false">'KPI Catalog'!$R$25</f>
        <v>Not live yet</v>
      </c>
      <c r="I63" s="13" t="str">
        <f aca="false">'KPI Catalog'!$X$25</f>
        <v>Needs approval</v>
      </c>
      <c r="J63" s="12" t="str">
        <f aca="false">'KPI Catalog'!$M$25</f>
        <v>Merchant Relationship Lead</v>
      </c>
    </row>
  </sheetData>
  <mergeCells count="17">
    <mergeCell ref="B6:D6"/>
    <mergeCell ref="B7:D7"/>
    <mergeCell ref="B10:D10"/>
    <mergeCell ref="B11:D11"/>
    <mergeCell ref="B12:D12"/>
    <mergeCell ref="B13:D13"/>
    <mergeCell ref="B14:D14"/>
    <mergeCell ref="B15:D15"/>
    <mergeCell ref="E31:F31"/>
    <mergeCell ref="E32:F32"/>
    <mergeCell ref="E33:F33"/>
    <mergeCell ref="E34:F34"/>
    <mergeCell ref="E35:F35"/>
    <mergeCell ref="E36:F36"/>
    <mergeCell ref="E37:F37"/>
    <mergeCell ref="E38:F38"/>
    <mergeCell ref="E39:F39"/>
  </mergeCells>
  <conditionalFormatting sqref="E32:E39">
    <cfRule type="cellIs" priority="2" operator="equal" aboveAverage="0" equalAverage="0" bottom="0" percent="0" rank="0" text="" dxfId="0">
      <formula>"Approved"</formula>
    </cfRule>
    <cfRule type="cellIs" priority="3" operator="equal" aboveAverage="0" equalAverage="0" bottom="0" percent="0" rank="0" text="" dxfId="1">
      <formula>"Proposed"</formula>
    </cfRule>
    <cfRule type="cellIs" priority="4" operator="equal" aboveAverage="0" equalAverage="0" bottom="0" percent="0" rank="0" text="" dxfId="2">
      <formula>"Pending decision"</formula>
    </cfRule>
    <cfRule type="cellIs" priority="5" operator="equal" aboveAverage="0" equalAverage="0" bottom="0" percent="0" rank="0" text="" dxfId="3">
      <formula>"Retired"</formula>
    </cfRule>
  </conditionalFormatting>
  <conditionalFormatting sqref="G32:G39">
    <cfRule type="cellIs" priority="6" operator="equal" aboveAverage="0" equalAverage="0" bottom="0" percent="0" rank="0" text="" dxfId="2">
      <formula>"Blocked"</formula>
    </cfRule>
  </conditionalFormatting>
  <conditionalFormatting sqref="H43:H63">
    <cfRule type="cellIs" priority="7" operator="equal" aboveAverage="0" equalAverage="0" bottom="0" percent="0" rank="0" text="" dxfId="0">
      <formula>"Green"</formula>
    </cfRule>
    <cfRule type="cellIs" priority="8" operator="equal" aboveAverage="0" equalAverage="0" bottom="0" percent="0" rank="0" text="" dxfId="1">
      <formula>"Amber"</formula>
    </cfRule>
    <cfRule type="cellIs" priority="9" operator="equal" aboveAverage="0" equalAverage="0" bottom="0" percent="0" rank="0" text="" dxfId="2">
      <formula>"Red"</formula>
    </cfRule>
    <cfRule type="cellIs" priority="10" operator="equal" aboveAverage="0" equalAverage="0" bottom="0" percent="0" rank="0" text="" dxfId="3">
      <formula>"Not live yet"</formula>
    </cfRule>
  </conditionalFormatting>
  <conditionalFormatting sqref="I43:I63">
    <cfRule type="cellIs" priority="11" operator="equal" aboveAverage="0" equalAverage="0" bottom="0" percent="0" rank="0" text="" dxfId="0">
      <formula>"Ready"</formula>
    </cfRule>
    <cfRule type="cellIs" priority="12" operator="equal" aboveAverage="0" equalAverage="0" bottom="0" percent="0" rank="0" text="" dxfId="4">
      <formula>"In progress"</formula>
    </cfRule>
    <cfRule type="cellIs" priority="13" operator="equal" aboveAverage="0" equalAverage="0" bottom="0" percent="0" rank="0" text="" dxfId="1">
      <formula>"Needs approval"</formula>
    </cfRule>
    <cfRule type="cellIs" priority="14" operator="equal" aboveAverage="0" equalAverage="0" bottom="0" percent="0" rank="0" text="" dxfId="2">
      <formula>"At risk"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3" min="3" style="0" width="24"/>
    <col collapsed="false" customWidth="true" hidden="false" outlineLevel="0" max="4" min="4" style="0" width="28"/>
    <col collapsed="false" customWidth="true" hidden="false" outlineLevel="0" max="5" min="5" style="0" width="36"/>
    <col collapsed="false" customWidth="true" hidden="false" outlineLevel="0" max="6" min="6" style="0" width="38"/>
    <col collapsed="false" customWidth="true" hidden="false" outlineLevel="0" max="7" min="7" style="0" width="8"/>
    <col collapsed="false" customWidth="true" hidden="false" outlineLevel="0" max="8" min="8" style="0" width="11"/>
    <col collapsed="false" customWidth="true" hidden="false" outlineLevel="0" max="9" min="9" style="0" width="20"/>
    <col collapsed="false" customWidth="true" hidden="false" outlineLevel="0" max="10" min="10" style="0" width="26"/>
    <col collapsed="false" customWidth="true" hidden="false" outlineLevel="0" max="11" min="11" style="0" width="11"/>
    <col collapsed="false" customWidth="true" hidden="false" outlineLevel="0" max="12" min="12" style="0" width="10"/>
    <col collapsed="false" customWidth="true" hidden="false" outlineLevel="0" max="13" min="13" style="0" width="14"/>
    <col collapsed="false" customWidth="true" hidden="false" outlineLevel="0" max="17" min="14" style="0" width="9"/>
    <col collapsed="false" customWidth="true" hidden="false" outlineLevel="0" max="18" min="18" style="0" width="10"/>
    <col collapsed="false" customWidth="true" hidden="false" outlineLevel="0" max="19" min="19" style="0" width="9"/>
    <col collapsed="false" customWidth="true" hidden="false" outlineLevel="0" max="21" min="20" style="0" width="12"/>
    <col collapsed="false" customWidth="true" hidden="false" outlineLevel="0" max="23" min="22" style="0" width="11"/>
    <col collapsed="false" customWidth="true" hidden="false" outlineLevel="0" max="25" min="24" style="0" width="12"/>
    <col collapsed="false" customWidth="true" hidden="false" outlineLevel="0" max="26" min="26" style="0" width="13"/>
    <col collapsed="false" customWidth="true" hidden="false" outlineLevel="0" max="28" min="27" style="0" width="16"/>
    <col collapsed="false" customWidth="true" hidden="false" outlineLevel="0" max="29" min="29" style="0" width="34"/>
    <col collapsed="false" customWidth="true" hidden="true" outlineLevel="0" max="30" min="30" style="0" width="6"/>
  </cols>
  <sheetData>
    <row r="1" customFormat="false" ht="19.7" hidden="false" customHeight="false" outlineLevel="0" collapsed="false">
      <c r="A1" s="21" t="s">
        <v>87</v>
      </c>
    </row>
    <row r="2" customFormat="false" ht="15" hidden="false" customHeight="false" outlineLevel="0" collapsed="false">
      <c r="A2" s="16" t="s">
        <v>88</v>
      </c>
    </row>
    <row r="3" customFormat="false" ht="15" hidden="false" customHeight="false" outlineLevel="0" collapsed="false">
      <c r="A3" s="22" t="s">
        <v>89</v>
      </c>
    </row>
    <row r="4" customFormat="false" ht="39.75" hidden="false" customHeight="true" outlineLevel="0" collapsed="false">
      <c r="A4" s="23" t="s">
        <v>76</v>
      </c>
      <c r="B4" s="23" t="s">
        <v>18</v>
      </c>
      <c r="C4" s="23" t="s">
        <v>90</v>
      </c>
      <c r="D4" s="23" t="s">
        <v>91</v>
      </c>
      <c r="E4" s="23" t="s">
        <v>92</v>
      </c>
      <c r="F4" s="23" t="s">
        <v>93</v>
      </c>
      <c r="G4" s="23" t="s">
        <v>94</v>
      </c>
      <c r="H4" s="23" t="s">
        <v>95</v>
      </c>
      <c r="I4" s="23" t="s">
        <v>96</v>
      </c>
      <c r="J4" s="23" t="s">
        <v>97</v>
      </c>
      <c r="K4" s="23" t="s">
        <v>98</v>
      </c>
      <c r="L4" s="23" t="s">
        <v>99</v>
      </c>
      <c r="M4" s="23" t="s">
        <v>100</v>
      </c>
      <c r="N4" s="23" t="s">
        <v>82</v>
      </c>
      <c r="O4" s="23" t="s">
        <v>83</v>
      </c>
      <c r="P4" s="23" t="s">
        <v>101</v>
      </c>
      <c r="Q4" s="23" t="s">
        <v>84</v>
      </c>
      <c r="R4" s="24" t="s">
        <v>85</v>
      </c>
      <c r="S4" s="24" t="s">
        <v>102</v>
      </c>
      <c r="T4" s="23" t="s">
        <v>103</v>
      </c>
      <c r="U4" s="23" t="s">
        <v>104</v>
      </c>
      <c r="V4" s="23" t="s">
        <v>105</v>
      </c>
      <c r="W4" s="23" t="s">
        <v>106</v>
      </c>
      <c r="X4" s="24" t="s">
        <v>107</v>
      </c>
      <c r="Y4" s="23" t="s">
        <v>108</v>
      </c>
      <c r="Z4" s="23" t="s">
        <v>109</v>
      </c>
      <c r="AA4" s="23" t="s">
        <v>110</v>
      </c>
      <c r="AB4" s="23" t="s">
        <v>111</v>
      </c>
      <c r="AC4" s="23" t="s">
        <v>112</v>
      </c>
      <c r="AD4" s="24" t="s">
        <v>113</v>
      </c>
    </row>
    <row r="5" customFormat="false" ht="57.75" hidden="false" customHeight="true" outlineLevel="0" collapsed="false">
      <c r="A5" s="13" t="s">
        <v>114</v>
      </c>
      <c r="B5" s="13" t="s">
        <v>19</v>
      </c>
      <c r="C5" s="12" t="s">
        <v>115</v>
      </c>
      <c r="D5" s="12" t="s">
        <v>116</v>
      </c>
      <c r="E5" s="12" t="s">
        <v>117</v>
      </c>
      <c r="F5" s="12" t="s">
        <v>118</v>
      </c>
      <c r="G5" s="13" t="s">
        <v>119</v>
      </c>
      <c r="H5" s="13" t="s">
        <v>120</v>
      </c>
      <c r="I5" s="12" t="s">
        <v>121</v>
      </c>
      <c r="J5" s="12" t="s">
        <v>122</v>
      </c>
      <c r="K5" s="13" t="s">
        <v>123</v>
      </c>
      <c r="L5" s="13" t="s">
        <v>124</v>
      </c>
      <c r="M5" s="12" t="s">
        <v>125</v>
      </c>
      <c r="N5" s="25" t="n">
        <v>0.38</v>
      </c>
      <c r="O5" s="25" t="n">
        <v>0.45</v>
      </c>
      <c r="P5" s="25" t="n">
        <v>0.41</v>
      </c>
      <c r="Q5" s="26"/>
      <c r="R5" s="27" t="str">
        <f aca="false">IF(OR(A5="",O5=""),"",IF(Q5="","Not live yet",IF(H5="Higher is better",IF(Q5&gt;=O5,"Green",IF(Q5&gt;=P5,"Amber","Red")),IF(Q5&lt;=O5,"Green",IF(Q5&lt;=P5,"Amber","Red")))))</f>
        <v>Not live yet</v>
      </c>
      <c r="S5" s="28" t="str">
        <f aca="false">IF(OR(A5="",Q5="",N5="",O5="",O5=N5),"",MAX(0,MIN(1,(Q5-N5)/(O5-N5))))</f>
        <v/>
      </c>
      <c r="T5" s="14" t="n">
        <v>47118</v>
      </c>
      <c r="U5" s="13" t="s">
        <v>65</v>
      </c>
      <c r="V5" s="13" t="s">
        <v>126</v>
      </c>
      <c r="W5" s="13" t="s">
        <v>127</v>
      </c>
      <c r="X5" s="27" t="str">
        <f aca="false">IF(A5="","",IF(OR(U5="Pending decision",W5="Blocked"),"At risk",IF(U5="Proposed","Needs approval",IF(AND(U5="Approved",OR(V5="Yes",V5="Not applicable"),W5="Yes"),"Ready","In progress"))))</f>
        <v>At risk</v>
      </c>
      <c r="Y5" s="14" t="n">
        <v>46360</v>
      </c>
      <c r="Z5" s="13" t="s">
        <v>128</v>
      </c>
      <c r="AA5" s="12" t="s">
        <v>129</v>
      </c>
      <c r="AB5" s="12" t="s">
        <v>130</v>
      </c>
      <c r="AC5" s="12" t="s">
        <v>131</v>
      </c>
      <c r="AD5" s="29" t="n">
        <f aca="false">IF(X5="At risk",ROW(),"")</f>
        <v>5</v>
      </c>
    </row>
    <row r="6" customFormat="false" ht="57.75" hidden="false" customHeight="true" outlineLevel="0" collapsed="false">
      <c r="A6" s="13" t="s">
        <v>132</v>
      </c>
      <c r="B6" s="13" t="s">
        <v>21</v>
      </c>
      <c r="C6" s="12" t="s">
        <v>133</v>
      </c>
      <c r="D6" s="12" t="s">
        <v>134</v>
      </c>
      <c r="E6" s="12" t="s">
        <v>135</v>
      </c>
      <c r="F6" s="12" t="s">
        <v>136</v>
      </c>
      <c r="G6" s="13" t="s">
        <v>119</v>
      </c>
      <c r="H6" s="13" t="s">
        <v>120</v>
      </c>
      <c r="I6" s="12" t="s">
        <v>137</v>
      </c>
      <c r="J6" s="12" t="s">
        <v>138</v>
      </c>
      <c r="K6" s="13" t="s">
        <v>123</v>
      </c>
      <c r="L6" s="13" t="s">
        <v>124</v>
      </c>
      <c r="M6" s="12" t="s">
        <v>125</v>
      </c>
      <c r="N6" s="25" t="n">
        <v>0.41</v>
      </c>
      <c r="O6" s="25" t="n">
        <v>0.48</v>
      </c>
      <c r="P6" s="25" t="n">
        <v>0.44</v>
      </c>
      <c r="Q6" s="26"/>
      <c r="R6" s="27" t="str">
        <f aca="false">IF(OR(A6="",O6=""),"",IF(Q6="","Not live yet",IF(H6="Higher is better",IF(Q6&gt;=O6,"Green",IF(Q6&gt;=P6,"Amber","Red")),IF(Q6&lt;=O6,"Green",IF(Q6&lt;=P6,"Amber","Red")))))</f>
        <v>Not live yet</v>
      </c>
      <c r="S6" s="28" t="str">
        <f aca="false">IF(OR(A6="",Q6="",N6="",O6="",O6=N6),"",MAX(0,MIN(1,(Q6-N6)/(O6-N6))))</f>
        <v/>
      </c>
      <c r="T6" s="14" t="n">
        <v>47118</v>
      </c>
      <c r="U6" s="13" t="s">
        <v>65</v>
      </c>
      <c r="V6" s="13" t="s">
        <v>126</v>
      </c>
      <c r="W6" s="13" t="s">
        <v>127</v>
      </c>
      <c r="X6" s="27" t="str">
        <f aca="false">IF(A6="","",IF(OR(U6="Pending decision",W6="Blocked"),"At risk",IF(U6="Proposed","Needs approval",IF(AND(U6="Approved",OR(V6="Yes",V6="Not applicable"),W6="Yes"),"Ready","In progress"))))</f>
        <v>At risk</v>
      </c>
      <c r="Y6" s="14" t="n">
        <v>46360</v>
      </c>
      <c r="Z6" s="13" t="s">
        <v>128</v>
      </c>
      <c r="AA6" s="12" t="s">
        <v>139</v>
      </c>
      <c r="AB6" s="12" t="s">
        <v>140</v>
      </c>
      <c r="AC6" s="12" t="s">
        <v>141</v>
      </c>
      <c r="AD6" s="29" t="n">
        <f aca="false">IF(X6="At risk",ROW(),"")</f>
        <v>6</v>
      </c>
    </row>
    <row r="7" customFormat="false" ht="57.75" hidden="false" customHeight="true" outlineLevel="0" collapsed="false">
      <c r="A7" s="13" t="s">
        <v>142</v>
      </c>
      <c r="B7" s="13" t="s">
        <v>21</v>
      </c>
      <c r="C7" s="12" t="s">
        <v>143</v>
      </c>
      <c r="D7" s="12" t="s">
        <v>144</v>
      </c>
      <c r="E7" s="12" t="s">
        <v>145</v>
      </c>
      <c r="F7" s="12" t="s">
        <v>146</v>
      </c>
      <c r="G7" s="13" t="s">
        <v>119</v>
      </c>
      <c r="H7" s="13" t="s">
        <v>120</v>
      </c>
      <c r="I7" s="12" t="s">
        <v>147</v>
      </c>
      <c r="J7" s="12" t="s">
        <v>148</v>
      </c>
      <c r="K7" s="13" t="s">
        <v>123</v>
      </c>
      <c r="L7" s="13" t="s">
        <v>149</v>
      </c>
      <c r="M7" s="12" t="s">
        <v>150</v>
      </c>
      <c r="N7" s="25" t="n">
        <v>0.78</v>
      </c>
      <c r="O7" s="25" t="n">
        <v>0.95</v>
      </c>
      <c r="P7" s="25" t="n">
        <v>0.9</v>
      </c>
      <c r="Q7" s="26"/>
      <c r="R7" s="27" t="str">
        <f aca="false">IF(OR(A7="",O7=""),"",IF(Q7="","Not live yet",IF(H7="Higher is better",IF(Q7&gt;=O7,"Green",IF(Q7&gt;=P7,"Amber","Red")),IF(Q7&lt;=O7,"Green",IF(Q7&lt;=P7,"Amber","Red")))))</f>
        <v>Not live yet</v>
      </c>
      <c r="S7" s="28" t="str">
        <f aca="false">IF(OR(A7="",Q7="",N7="",O7="",O7=N7),"",MAX(0,MIN(1,(Q7-N7)/(O7-N7))))</f>
        <v/>
      </c>
      <c r="T7" s="14" t="n">
        <v>47118</v>
      </c>
      <c r="U7" s="13" t="s">
        <v>63</v>
      </c>
      <c r="V7" s="13" t="s">
        <v>151</v>
      </c>
      <c r="W7" s="13" t="s">
        <v>72</v>
      </c>
      <c r="X7" s="27" t="str">
        <f aca="false">IF(A7="","",IF(OR(U7="Pending decision",W7="Blocked"),"At risk",IF(U7="Proposed","Needs approval",IF(AND(U7="Approved",OR(V7="Yes",V7="Not applicable"),W7="Yes"),"Ready","In progress"))))</f>
        <v>In progress</v>
      </c>
      <c r="Y7" s="14" t="n">
        <v>46360</v>
      </c>
      <c r="Z7" s="13" t="s">
        <v>152</v>
      </c>
      <c r="AA7" s="12" t="s">
        <v>153</v>
      </c>
      <c r="AB7" s="12" t="s">
        <v>154</v>
      </c>
      <c r="AC7" s="12" t="s">
        <v>155</v>
      </c>
      <c r="AD7" s="29" t="str">
        <f aca="false">IF(X7="At risk",ROW(),"")</f>
        <v/>
      </c>
    </row>
    <row r="8" customFormat="false" ht="45" hidden="false" customHeight="true" outlineLevel="0" collapsed="false">
      <c r="A8" s="13" t="s">
        <v>156</v>
      </c>
      <c r="B8" s="13" t="s">
        <v>21</v>
      </c>
      <c r="C8" s="12" t="s">
        <v>157</v>
      </c>
      <c r="D8" s="12" t="s">
        <v>158</v>
      </c>
      <c r="E8" s="12" t="s">
        <v>159</v>
      </c>
      <c r="F8" s="12" t="s">
        <v>160</v>
      </c>
      <c r="G8" s="13" t="s">
        <v>119</v>
      </c>
      <c r="H8" s="13" t="s">
        <v>161</v>
      </c>
      <c r="I8" s="12" t="s">
        <v>162</v>
      </c>
      <c r="J8" s="12" t="s">
        <v>138</v>
      </c>
      <c r="K8" s="13" t="s">
        <v>123</v>
      </c>
      <c r="L8" s="13" t="s">
        <v>149</v>
      </c>
      <c r="M8" s="12" t="s">
        <v>150</v>
      </c>
      <c r="N8" s="25" t="n">
        <v>0.09</v>
      </c>
      <c r="O8" s="25" t="n">
        <v>0.03</v>
      </c>
      <c r="P8" s="25" t="n">
        <v>0.05</v>
      </c>
      <c r="Q8" s="26"/>
      <c r="R8" s="27" t="str">
        <f aca="false">IF(OR(A8="",O8=""),"",IF(Q8="","Not live yet",IF(H8="Higher is better",IF(Q8&gt;=O8,"Green",IF(Q8&gt;=P8,"Amber","Red")),IF(Q8&lt;=O8,"Green",IF(Q8&lt;=P8,"Amber","Red")))))</f>
        <v>Not live yet</v>
      </c>
      <c r="S8" s="28" t="str">
        <f aca="false">IF(OR(A8="",Q8="",N8="",O8="",O8=N8),"",MAX(0,MIN(1,(Q8-N8)/(O8-N8))))</f>
        <v/>
      </c>
      <c r="T8" s="14" t="n">
        <v>47118</v>
      </c>
      <c r="U8" s="13" t="s">
        <v>63</v>
      </c>
      <c r="V8" s="13" t="s">
        <v>151</v>
      </c>
      <c r="W8" s="13" t="s">
        <v>72</v>
      </c>
      <c r="X8" s="27" t="str">
        <f aca="false">IF(A8="","",IF(OR(U8="Pending decision",W8="Blocked"),"At risk",IF(U8="Proposed","Needs approval",IF(AND(U8="Approved",OR(V8="Yes",V8="Not applicable"),W8="Yes"),"Ready","In progress"))))</f>
        <v>In progress</v>
      </c>
      <c r="Y8" s="14" t="n">
        <v>46360</v>
      </c>
      <c r="Z8" s="13" t="s">
        <v>163</v>
      </c>
      <c r="AA8" s="12" t="s">
        <v>164</v>
      </c>
      <c r="AB8" s="12" t="s">
        <v>165</v>
      </c>
      <c r="AC8" s="12" t="s">
        <v>166</v>
      </c>
      <c r="AD8" s="29" t="str">
        <f aca="false">IF(X8="At risk",ROW(),"")</f>
        <v/>
      </c>
    </row>
    <row r="9" customFormat="false" ht="45" hidden="false" customHeight="true" outlineLevel="0" collapsed="false">
      <c r="A9" s="13" t="s">
        <v>167</v>
      </c>
      <c r="B9" s="13" t="s">
        <v>21</v>
      </c>
      <c r="C9" s="12" t="s">
        <v>168</v>
      </c>
      <c r="D9" s="12" t="s">
        <v>169</v>
      </c>
      <c r="E9" s="12" t="s">
        <v>170</v>
      </c>
      <c r="F9" s="12" t="s">
        <v>171</v>
      </c>
      <c r="G9" s="13" t="s">
        <v>172</v>
      </c>
      <c r="H9" s="13" t="s">
        <v>161</v>
      </c>
      <c r="I9" s="12" t="s">
        <v>173</v>
      </c>
      <c r="J9" s="12" t="s">
        <v>174</v>
      </c>
      <c r="K9" s="13" t="s">
        <v>123</v>
      </c>
      <c r="L9" s="13" t="s">
        <v>124</v>
      </c>
      <c r="M9" s="12" t="s">
        <v>150</v>
      </c>
      <c r="N9" s="30" t="n">
        <v>42</v>
      </c>
      <c r="O9" s="30" t="n">
        <v>25</v>
      </c>
      <c r="P9" s="30" t="n">
        <v>32</v>
      </c>
      <c r="Q9" s="31"/>
      <c r="R9" s="27" t="str">
        <f aca="false">IF(OR(A9="",O9=""),"",IF(Q9="","Not live yet",IF(H9="Higher is better",IF(Q9&gt;=O9,"Green",IF(Q9&gt;=P9,"Amber","Red")),IF(Q9&lt;=O9,"Green",IF(Q9&lt;=P9,"Amber","Red")))))</f>
        <v>Not live yet</v>
      </c>
      <c r="S9" s="28" t="str">
        <f aca="false">IF(OR(A9="",Q9="",N9="",O9="",O9=N9),"",MAX(0,MIN(1,(Q9-N9)/(O9-N9))))</f>
        <v/>
      </c>
      <c r="T9" s="14" t="n">
        <v>47118</v>
      </c>
      <c r="U9" s="13" t="s">
        <v>63</v>
      </c>
      <c r="V9" s="13" t="s">
        <v>151</v>
      </c>
      <c r="W9" s="13" t="s">
        <v>151</v>
      </c>
      <c r="X9" s="27" t="str">
        <f aca="false">IF(A9="","",IF(OR(U9="Pending decision",W9="Blocked"),"At risk",IF(U9="Proposed","Needs approval",IF(AND(U9="Approved",OR(V9="Yes",V9="Not applicable"),W9="Yes"),"Ready","In progress"))))</f>
        <v>Ready</v>
      </c>
      <c r="Y9" s="14" t="n">
        <v>46360</v>
      </c>
      <c r="Z9" s="13" t="s">
        <v>175</v>
      </c>
      <c r="AA9" s="12" t="s">
        <v>176</v>
      </c>
      <c r="AB9" s="12"/>
      <c r="AC9" s="12" t="s">
        <v>177</v>
      </c>
      <c r="AD9" s="29" t="str">
        <f aca="false">IF(X9="At risk",ROW(),"")</f>
        <v/>
      </c>
    </row>
    <row r="10" customFormat="false" ht="45" hidden="false" customHeight="true" outlineLevel="0" collapsed="false">
      <c r="A10" s="13" t="s">
        <v>178</v>
      </c>
      <c r="B10" s="13" t="s">
        <v>21</v>
      </c>
      <c r="C10" s="12" t="s">
        <v>179</v>
      </c>
      <c r="D10" s="12" t="s">
        <v>180</v>
      </c>
      <c r="E10" s="12" t="s">
        <v>181</v>
      </c>
      <c r="F10" s="12" t="s">
        <v>182</v>
      </c>
      <c r="G10" s="13" t="s">
        <v>119</v>
      </c>
      <c r="H10" s="13" t="s">
        <v>120</v>
      </c>
      <c r="I10" s="12" t="s">
        <v>183</v>
      </c>
      <c r="J10" s="12" t="s">
        <v>184</v>
      </c>
      <c r="K10" s="13" t="s">
        <v>123</v>
      </c>
      <c r="L10" s="13" t="s">
        <v>149</v>
      </c>
      <c r="M10" s="12" t="s">
        <v>185</v>
      </c>
      <c r="N10" s="25" t="n">
        <v>0</v>
      </c>
      <c r="O10" s="25" t="n">
        <v>0.7</v>
      </c>
      <c r="P10" s="25" t="n">
        <v>0.5</v>
      </c>
      <c r="Q10" s="26"/>
      <c r="R10" s="27" t="str">
        <f aca="false">IF(OR(A10="",O10=""),"",IF(Q10="","Not live yet",IF(H10="Higher is better",IF(Q10&gt;=O10,"Green",IF(Q10&gt;=P10,"Amber","Red")),IF(Q10&lt;=O10,"Green",IF(Q10&lt;=P10,"Amber","Red")))))</f>
        <v>Not live yet</v>
      </c>
      <c r="S10" s="28" t="str">
        <f aca="false">IF(OR(A10="",Q10="",N10="",O10="",O10=N10),"",MAX(0,MIN(1,(Q10-N10)/(O10-N10))))</f>
        <v/>
      </c>
      <c r="T10" s="14" t="n">
        <v>47483</v>
      </c>
      <c r="U10" s="13" t="s">
        <v>63</v>
      </c>
      <c r="V10" s="13" t="s">
        <v>151</v>
      </c>
      <c r="W10" s="13" t="s">
        <v>72</v>
      </c>
      <c r="X10" s="27" t="str">
        <f aca="false">IF(A10="","",IF(OR(U10="Pending decision",W10="Blocked"),"At risk",IF(U10="Proposed","Needs approval",IF(AND(U10="Approved",OR(V10="Yes",V10="Not applicable"),W10="Yes"),"Ready","In progress"))))</f>
        <v>In progress</v>
      </c>
      <c r="Y10" s="14" t="n">
        <v>46360</v>
      </c>
      <c r="Z10" s="13" t="s">
        <v>186</v>
      </c>
      <c r="AA10" s="12" t="s">
        <v>187</v>
      </c>
      <c r="AB10" s="12" t="s">
        <v>188</v>
      </c>
      <c r="AC10" s="12" t="s">
        <v>189</v>
      </c>
      <c r="AD10" s="29" t="str">
        <f aca="false">IF(X10="At risk",ROW(),"")</f>
        <v/>
      </c>
    </row>
    <row r="11" customFormat="false" ht="45" hidden="false" customHeight="true" outlineLevel="0" collapsed="false">
      <c r="A11" s="13" t="s">
        <v>190</v>
      </c>
      <c r="B11" s="13" t="s">
        <v>21</v>
      </c>
      <c r="C11" s="12" t="s">
        <v>191</v>
      </c>
      <c r="D11" s="12" t="s">
        <v>192</v>
      </c>
      <c r="E11" s="12" t="s">
        <v>193</v>
      </c>
      <c r="F11" s="12" t="s">
        <v>194</v>
      </c>
      <c r="G11" s="13" t="s">
        <v>195</v>
      </c>
      <c r="H11" s="13" t="s">
        <v>161</v>
      </c>
      <c r="I11" s="12" t="s">
        <v>196</v>
      </c>
      <c r="J11" s="12" t="s">
        <v>197</v>
      </c>
      <c r="K11" s="13" t="s">
        <v>123</v>
      </c>
      <c r="L11" s="13" t="s">
        <v>124</v>
      </c>
      <c r="M11" s="12" t="s">
        <v>125</v>
      </c>
      <c r="N11" s="30" t="n">
        <v>14</v>
      </c>
      <c r="O11" s="30" t="n">
        <v>8</v>
      </c>
      <c r="P11" s="30" t="n">
        <v>11</v>
      </c>
      <c r="Q11" s="31"/>
      <c r="R11" s="27" t="str">
        <f aca="false">IF(OR(A11="",O11=""),"",IF(Q11="","Not live yet",IF(H11="Higher is better",IF(Q11&gt;=O11,"Green",IF(Q11&gt;=P11,"Amber","Red")),IF(Q11&lt;=O11,"Green",IF(Q11&lt;=P11,"Amber","Red")))))</f>
        <v>Not live yet</v>
      </c>
      <c r="S11" s="28" t="str">
        <f aca="false">IF(OR(A11="",Q11="",N11="",O11="",O11=N11),"",MAX(0,MIN(1,(Q11-N11)/(O11-N11))))</f>
        <v/>
      </c>
      <c r="T11" s="14" t="n">
        <v>47118</v>
      </c>
      <c r="U11" s="13" t="s">
        <v>64</v>
      </c>
      <c r="V11" s="13" t="s">
        <v>126</v>
      </c>
      <c r="W11" s="13" t="s">
        <v>127</v>
      </c>
      <c r="X11" s="27" t="str">
        <f aca="false">IF(A11="","",IF(OR(U11="Pending decision",W11="Blocked"),"At risk",IF(U11="Proposed","Needs approval",IF(AND(U11="Approved",OR(V11="Yes",V11="Not applicable"),W11="Yes"),"Ready","In progress"))))</f>
        <v>Needs approval</v>
      </c>
      <c r="Y11" s="14" t="n">
        <v>46360</v>
      </c>
      <c r="Z11" s="13" t="s">
        <v>198</v>
      </c>
      <c r="AA11" s="12" t="s">
        <v>199</v>
      </c>
      <c r="AB11" s="12"/>
      <c r="AC11" s="12" t="s">
        <v>200</v>
      </c>
      <c r="AD11" s="29" t="str">
        <f aca="false">IF(X11="At risk",ROW(),"")</f>
        <v/>
      </c>
    </row>
    <row r="12" customFormat="false" ht="45" hidden="false" customHeight="true" outlineLevel="0" collapsed="false">
      <c r="A12" s="13" t="s">
        <v>201</v>
      </c>
      <c r="B12" s="13" t="s">
        <v>23</v>
      </c>
      <c r="C12" s="12" t="s">
        <v>202</v>
      </c>
      <c r="D12" s="12" t="s">
        <v>203</v>
      </c>
      <c r="E12" s="12" t="s">
        <v>204</v>
      </c>
      <c r="F12" s="12" t="s">
        <v>205</v>
      </c>
      <c r="G12" s="13" t="s">
        <v>119</v>
      </c>
      <c r="H12" s="13" t="s">
        <v>120</v>
      </c>
      <c r="I12" s="12" t="s">
        <v>206</v>
      </c>
      <c r="J12" s="12" t="s">
        <v>207</v>
      </c>
      <c r="K12" s="13" t="s">
        <v>208</v>
      </c>
      <c r="L12" s="13" t="s">
        <v>149</v>
      </c>
      <c r="M12" s="12" t="s">
        <v>185</v>
      </c>
      <c r="N12" s="25"/>
      <c r="O12" s="25" t="n">
        <v>0.6</v>
      </c>
      <c r="P12" s="25" t="n">
        <v>0.45</v>
      </c>
      <c r="Q12" s="26"/>
      <c r="R12" s="27" t="str">
        <f aca="false">IF(OR(A12="",O12=""),"",IF(Q12="","Not live yet",IF(H12="Higher is better",IF(Q12&gt;=O12,"Green",IF(Q12&gt;=P12,"Amber","Red")),IF(Q12&lt;=O12,"Green",IF(Q12&lt;=P12,"Amber","Red")))))</f>
        <v>Not live yet</v>
      </c>
      <c r="S12" s="28" t="str">
        <f aca="false">IF(OR(A12="",Q12="",N12="",O12="",O12=N12),"",MAX(0,MIN(1,(Q12-N12)/(O12-N12))))</f>
        <v/>
      </c>
      <c r="T12" s="14" t="n">
        <v>46402</v>
      </c>
      <c r="U12" s="13" t="s">
        <v>63</v>
      </c>
      <c r="V12" s="13" t="s">
        <v>209</v>
      </c>
      <c r="W12" s="13" t="s">
        <v>210</v>
      </c>
      <c r="X12" s="27" t="str">
        <f aca="false">IF(A12="","",IF(OR(U12="Pending decision",W12="Blocked"),"At risk",IF(U12="Proposed","Needs approval",IF(AND(U12="Approved",OR(V12="Yes",V12="Not applicable"),W12="Yes"),"Ready","In progress"))))</f>
        <v>At risk</v>
      </c>
      <c r="Y12" s="14" t="n">
        <v>46360</v>
      </c>
      <c r="Z12" s="13" t="s">
        <v>211</v>
      </c>
      <c r="AA12" s="12" t="s">
        <v>212</v>
      </c>
      <c r="AB12" s="12" t="s">
        <v>213</v>
      </c>
      <c r="AC12" s="12" t="s">
        <v>214</v>
      </c>
      <c r="AD12" s="29" t="n">
        <f aca="false">IF(X12="At risk",ROW(),"")</f>
        <v>12</v>
      </c>
    </row>
    <row r="13" customFormat="false" ht="57.75" hidden="false" customHeight="true" outlineLevel="0" collapsed="false">
      <c r="A13" s="13" t="s">
        <v>215</v>
      </c>
      <c r="B13" s="13" t="s">
        <v>23</v>
      </c>
      <c r="C13" s="12" t="s">
        <v>216</v>
      </c>
      <c r="D13" s="12" t="s">
        <v>217</v>
      </c>
      <c r="E13" s="12" t="s">
        <v>218</v>
      </c>
      <c r="F13" s="12" t="s">
        <v>219</v>
      </c>
      <c r="G13" s="13" t="s">
        <v>119</v>
      </c>
      <c r="H13" s="13" t="s">
        <v>120</v>
      </c>
      <c r="I13" s="12" t="s">
        <v>220</v>
      </c>
      <c r="J13" s="12" t="s">
        <v>221</v>
      </c>
      <c r="K13" s="13" t="s">
        <v>208</v>
      </c>
      <c r="L13" s="13" t="s">
        <v>149</v>
      </c>
      <c r="M13" s="12" t="s">
        <v>185</v>
      </c>
      <c r="N13" s="25"/>
      <c r="O13" s="25" t="n">
        <v>0.6</v>
      </c>
      <c r="P13" s="25" t="n">
        <v>0.4</v>
      </c>
      <c r="Q13" s="26"/>
      <c r="R13" s="27" t="str">
        <f aca="false">IF(OR(A13="",O13=""),"",IF(Q13="","Not live yet",IF(H13="Higher is better",IF(Q13&gt;=O13,"Green",IF(Q13&gt;=P13,"Amber","Red")),IF(Q13&lt;=O13,"Green",IF(Q13&lt;=P13,"Amber","Red")))))</f>
        <v>Not live yet</v>
      </c>
      <c r="S13" s="28" t="str">
        <f aca="false">IF(OR(A13="",Q13="",N13="",O13="",O13=N13),"",MAX(0,MIN(1,(Q13-N13)/(O13-N13))))</f>
        <v/>
      </c>
      <c r="T13" s="14" t="n">
        <v>46477</v>
      </c>
      <c r="U13" s="13" t="s">
        <v>63</v>
      </c>
      <c r="V13" s="13" t="s">
        <v>209</v>
      </c>
      <c r="W13" s="13" t="s">
        <v>210</v>
      </c>
      <c r="X13" s="27" t="str">
        <f aca="false">IF(A13="","",IF(OR(U13="Pending decision",W13="Blocked"),"At risk",IF(U13="Proposed","Needs approval",IF(AND(U13="Approved",OR(V13="Yes",V13="Not applicable"),W13="Yes"),"Ready","In progress"))))</f>
        <v>At risk</v>
      </c>
      <c r="Y13" s="14" t="n">
        <v>46360</v>
      </c>
      <c r="Z13" s="13" t="s">
        <v>211</v>
      </c>
      <c r="AA13" s="12" t="s">
        <v>222</v>
      </c>
      <c r="AB13" s="12" t="s">
        <v>223</v>
      </c>
      <c r="AC13" s="12" t="s">
        <v>224</v>
      </c>
      <c r="AD13" s="29" t="n">
        <f aca="false">IF(X13="At risk",ROW(),"")</f>
        <v>13</v>
      </c>
    </row>
    <row r="14" customFormat="false" ht="45" hidden="false" customHeight="true" outlineLevel="0" collapsed="false">
      <c r="A14" s="13" t="s">
        <v>225</v>
      </c>
      <c r="B14" s="13" t="s">
        <v>23</v>
      </c>
      <c r="C14" s="12" t="s">
        <v>226</v>
      </c>
      <c r="D14" s="12" t="s">
        <v>227</v>
      </c>
      <c r="E14" s="12" t="s">
        <v>228</v>
      </c>
      <c r="F14" s="12" t="s">
        <v>229</v>
      </c>
      <c r="G14" s="13" t="s">
        <v>119</v>
      </c>
      <c r="H14" s="13" t="s">
        <v>120</v>
      </c>
      <c r="I14" s="12" t="s">
        <v>230</v>
      </c>
      <c r="J14" s="12" t="s">
        <v>231</v>
      </c>
      <c r="K14" s="13" t="s">
        <v>208</v>
      </c>
      <c r="L14" s="13" t="s">
        <v>149</v>
      </c>
      <c r="M14" s="12" t="s">
        <v>185</v>
      </c>
      <c r="N14" s="25"/>
      <c r="O14" s="25" t="n">
        <v>0.85</v>
      </c>
      <c r="P14" s="25" t="n">
        <v>0.7</v>
      </c>
      <c r="Q14" s="26"/>
      <c r="R14" s="27" t="str">
        <f aca="false">IF(OR(A14="",O14=""),"",IF(Q14="","Not live yet",IF(H14="Higher is better",IF(Q14&gt;=O14,"Green",IF(Q14&gt;=P14,"Amber","Red")),IF(Q14&lt;=O14,"Green",IF(Q14&lt;=P14,"Amber","Red")))))</f>
        <v>Not live yet</v>
      </c>
      <c r="S14" s="28" t="str">
        <f aca="false">IF(OR(A14="",Q14="",N14="",O14="",O14=N14),"",MAX(0,MIN(1,(Q14-N14)/(O14-N14))))</f>
        <v/>
      </c>
      <c r="T14" s="14" t="n">
        <v>46477</v>
      </c>
      <c r="U14" s="13" t="s">
        <v>64</v>
      </c>
      <c r="V14" s="13" t="s">
        <v>209</v>
      </c>
      <c r="W14" s="13" t="s">
        <v>210</v>
      </c>
      <c r="X14" s="27" t="str">
        <f aca="false">IF(A14="","",IF(OR(U14="Pending decision",W14="Blocked"),"At risk",IF(U14="Proposed","Needs approval",IF(AND(U14="Approved",OR(V14="Yes",V14="Not applicable"),W14="Yes"),"Ready","In progress"))))</f>
        <v>At risk</v>
      </c>
      <c r="Y14" s="14" t="n">
        <v>46360</v>
      </c>
      <c r="Z14" s="13" t="s">
        <v>232</v>
      </c>
      <c r="AA14" s="12" t="s">
        <v>233</v>
      </c>
      <c r="AB14" s="12" t="s">
        <v>223</v>
      </c>
      <c r="AC14" s="12" t="s">
        <v>234</v>
      </c>
      <c r="AD14" s="29" t="n">
        <f aca="false">IF(X14="At risk",ROW(),"")</f>
        <v>14</v>
      </c>
    </row>
    <row r="15" customFormat="false" ht="31.5" hidden="false" customHeight="true" outlineLevel="0" collapsed="false">
      <c r="A15" s="13" t="s">
        <v>235</v>
      </c>
      <c r="B15" s="13" t="s">
        <v>23</v>
      </c>
      <c r="C15" s="12" t="s">
        <v>236</v>
      </c>
      <c r="D15" s="12" t="s">
        <v>237</v>
      </c>
      <c r="E15" s="12" t="s">
        <v>238</v>
      </c>
      <c r="F15" s="12" t="s">
        <v>239</v>
      </c>
      <c r="G15" s="13" t="s">
        <v>119</v>
      </c>
      <c r="H15" s="13" t="s">
        <v>120</v>
      </c>
      <c r="I15" s="12" t="s">
        <v>220</v>
      </c>
      <c r="J15" s="12" t="s">
        <v>240</v>
      </c>
      <c r="K15" s="13" t="s">
        <v>208</v>
      </c>
      <c r="L15" s="13" t="s">
        <v>149</v>
      </c>
      <c r="M15" s="12" t="s">
        <v>185</v>
      </c>
      <c r="N15" s="25"/>
      <c r="O15" s="25" t="n">
        <v>0.7</v>
      </c>
      <c r="P15" s="25" t="n">
        <v>0.5</v>
      </c>
      <c r="Q15" s="26"/>
      <c r="R15" s="27" t="str">
        <f aca="false">IF(OR(A15="",O15=""),"",IF(Q15="","Not live yet",IF(H15="Higher is better",IF(Q15&gt;=O15,"Green",IF(Q15&gt;=P15,"Amber","Red")),IF(Q15&lt;=O15,"Green",IF(Q15&lt;=P15,"Amber","Red")))))</f>
        <v>Not live yet</v>
      </c>
      <c r="S15" s="28" t="str">
        <f aca="false">IF(OR(A15="",Q15="",N15="",O15="",O15=N15),"",MAX(0,MIN(1,(Q15-N15)/(O15-N15))))</f>
        <v/>
      </c>
      <c r="T15" s="14" t="n">
        <v>46402</v>
      </c>
      <c r="U15" s="13" t="s">
        <v>64</v>
      </c>
      <c r="V15" s="13" t="s">
        <v>209</v>
      </c>
      <c r="W15" s="13" t="s">
        <v>210</v>
      </c>
      <c r="X15" s="27" t="str">
        <f aca="false">IF(A15="","",IF(OR(U15="Pending decision",W15="Blocked"),"At risk",IF(U15="Proposed","Needs approval",IF(AND(U15="Approved",OR(V15="Yes",V15="Not applicable"),W15="Yes"),"Ready","In progress"))))</f>
        <v>At risk</v>
      </c>
      <c r="Y15" s="14" t="n">
        <v>46360</v>
      </c>
      <c r="Z15" s="13" t="s">
        <v>211</v>
      </c>
      <c r="AA15" s="12" t="s">
        <v>241</v>
      </c>
      <c r="AB15" s="12" t="s">
        <v>213</v>
      </c>
      <c r="AC15" s="12"/>
      <c r="AD15" s="29" t="n">
        <f aca="false">IF(X15="At risk",ROW(),"")</f>
        <v>15</v>
      </c>
    </row>
    <row r="16" customFormat="false" ht="45" hidden="false" customHeight="true" outlineLevel="0" collapsed="false">
      <c r="A16" s="13" t="s">
        <v>242</v>
      </c>
      <c r="B16" s="13" t="s">
        <v>25</v>
      </c>
      <c r="C16" s="12" t="s">
        <v>243</v>
      </c>
      <c r="D16" s="12" t="s">
        <v>244</v>
      </c>
      <c r="E16" s="12" t="s">
        <v>245</v>
      </c>
      <c r="F16" s="12" t="s">
        <v>246</v>
      </c>
      <c r="G16" s="13" t="s">
        <v>172</v>
      </c>
      <c r="H16" s="13" t="s">
        <v>161</v>
      </c>
      <c r="I16" s="12" t="s">
        <v>247</v>
      </c>
      <c r="J16" s="12" t="s">
        <v>248</v>
      </c>
      <c r="K16" s="13" t="s">
        <v>123</v>
      </c>
      <c r="L16" s="13" t="s">
        <v>249</v>
      </c>
      <c r="M16" s="12" t="s">
        <v>250</v>
      </c>
      <c r="N16" s="30"/>
      <c r="O16" s="30" t="n">
        <v>5</v>
      </c>
      <c r="P16" s="30" t="n">
        <v>10</v>
      </c>
      <c r="Q16" s="31"/>
      <c r="R16" s="27" t="str">
        <f aca="false">IF(OR(A16="",O16=""),"",IF(Q16="","Not live yet",IF(H16="Higher is better",IF(Q16&gt;=O16,"Green",IF(Q16&gt;=P16,"Amber","Red")),IF(Q16&lt;=O16,"Green",IF(Q16&lt;=P16,"Amber","Red")))))</f>
        <v>Not live yet</v>
      </c>
      <c r="S16" s="28" t="str">
        <f aca="false">IF(OR(A16="",Q16="",N16="",O16="",O16=N16),"",MAX(0,MIN(1,(Q16-N16)/(O16-N16))))</f>
        <v/>
      </c>
      <c r="T16" s="14" t="n">
        <v>46367</v>
      </c>
      <c r="U16" s="13" t="s">
        <v>63</v>
      </c>
      <c r="V16" s="13" t="s">
        <v>209</v>
      </c>
      <c r="W16" s="13" t="s">
        <v>72</v>
      </c>
      <c r="X16" s="27" t="str">
        <f aca="false">IF(A16="","",IF(OR(U16="Pending decision",W16="Blocked"),"At risk",IF(U16="Proposed","Needs approval",IF(AND(U16="Approved",OR(V16="Yes",V16="Not applicable"),W16="Yes"),"Ready","In progress"))))</f>
        <v>In progress</v>
      </c>
      <c r="Y16" s="14" t="n">
        <v>46360</v>
      </c>
      <c r="Z16" s="13" t="s">
        <v>251</v>
      </c>
      <c r="AA16" s="12" t="s">
        <v>252</v>
      </c>
      <c r="AB16" s="12" t="s">
        <v>253</v>
      </c>
      <c r="AC16" s="12" t="s">
        <v>254</v>
      </c>
      <c r="AD16" s="29" t="str">
        <f aca="false">IF(X16="At risk",ROW(),"")</f>
        <v/>
      </c>
    </row>
    <row r="17" customFormat="false" ht="45" hidden="false" customHeight="true" outlineLevel="0" collapsed="false">
      <c r="A17" s="13" t="s">
        <v>255</v>
      </c>
      <c r="B17" s="13" t="s">
        <v>25</v>
      </c>
      <c r="C17" s="12" t="s">
        <v>256</v>
      </c>
      <c r="D17" s="12" t="s">
        <v>257</v>
      </c>
      <c r="E17" s="12" t="s">
        <v>258</v>
      </c>
      <c r="F17" s="12" t="s">
        <v>259</v>
      </c>
      <c r="G17" s="13" t="s">
        <v>195</v>
      </c>
      <c r="H17" s="13" t="s">
        <v>161</v>
      </c>
      <c r="I17" s="12" t="s">
        <v>260</v>
      </c>
      <c r="J17" s="12" t="s">
        <v>261</v>
      </c>
      <c r="K17" s="13" t="s">
        <v>123</v>
      </c>
      <c r="L17" s="13" t="s">
        <v>249</v>
      </c>
      <c r="M17" s="12" t="s">
        <v>250</v>
      </c>
      <c r="N17" s="30"/>
      <c r="O17" s="30" t="n">
        <v>0</v>
      </c>
      <c r="P17" s="30" t="n">
        <v>2</v>
      </c>
      <c r="Q17" s="31"/>
      <c r="R17" s="27" t="str">
        <f aca="false">IF(OR(A17="",O17=""),"",IF(Q17="","Not live yet",IF(H17="Higher is better",IF(Q17&gt;=O17,"Green",IF(Q17&gt;=P17,"Amber","Red")),IF(Q17&lt;=O17,"Green",IF(Q17&lt;=P17,"Amber","Red")))))</f>
        <v>Not live yet</v>
      </c>
      <c r="S17" s="28" t="str">
        <f aca="false">IF(OR(A17="",Q17="",N17="",O17="",O17=N17),"",MAX(0,MIN(1,(Q17-N17)/(O17-N17))))</f>
        <v/>
      </c>
      <c r="T17" s="14" t="n">
        <v>46367</v>
      </c>
      <c r="U17" s="13" t="s">
        <v>63</v>
      </c>
      <c r="V17" s="13" t="s">
        <v>209</v>
      </c>
      <c r="W17" s="13" t="s">
        <v>72</v>
      </c>
      <c r="X17" s="27" t="str">
        <f aca="false">IF(A17="","",IF(OR(U17="Pending decision",W17="Blocked"),"At risk",IF(U17="Proposed","Needs approval",IF(AND(U17="Approved",OR(V17="Yes",V17="Not applicable"),W17="Yes"),"Ready","In progress"))))</f>
        <v>In progress</v>
      </c>
      <c r="Y17" s="14" t="n">
        <v>46360</v>
      </c>
      <c r="Z17" s="13" t="s">
        <v>262</v>
      </c>
      <c r="AA17" s="12" t="s">
        <v>263</v>
      </c>
      <c r="AB17" s="12" t="s">
        <v>165</v>
      </c>
      <c r="AC17" s="12" t="s">
        <v>264</v>
      </c>
      <c r="AD17" s="29" t="str">
        <f aca="false">IF(X17="At risk",ROW(),"")</f>
        <v/>
      </c>
    </row>
    <row r="18" customFormat="false" ht="31.5" hidden="false" customHeight="true" outlineLevel="0" collapsed="false">
      <c r="A18" s="13" t="s">
        <v>265</v>
      </c>
      <c r="B18" s="13" t="s">
        <v>25</v>
      </c>
      <c r="C18" s="12" t="s">
        <v>266</v>
      </c>
      <c r="D18" s="12" t="s">
        <v>267</v>
      </c>
      <c r="E18" s="12" t="s">
        <v>268</v>
      </c>
      <c r="F18" s="12" t="s">
        <v>269</v>
      </c>
      <c r="G18" s="13" t="s">
        <v>270</v>
      </c>
      <c r="H18" s="13" t="s">
        <v>161</v>
      </c>
      <c r="I18" s="12" t="s">
        <v>271</v>
      </c>
      <c r="J18" s="12" t="s">
        <v>272</v>
      </c>
      <c r="K18" s="13" t="s">
        <v>123</v>
      </c>
      <c r="L18" s="13" t="s">
        <v>249</v>
      </c>
      <c r="M18" s="12" t="s">
        <v>250</v>
      </c>
      <c r="N18" s="32"/>
      <c r="O18" s="32" t="n">
        <v>2</v>
      </c>
      <c r="P18" s="32" t="n">
        <v>3</v>
      </c>
      <c r="Q18" s="33"/>
      <c r="R18" s="27" t="str">
        <f aca="false">IF(OR(A18="",O18=""),"",IF(Q18="","Not live yet",IF(H18="Higher is better",IF(Q18&gt;=O18,"Green",IF(Q18&gt;=P18,"Amber","Red")),IF(Q18&lt;=O18,"Green",IF(Q18&lt;=P18,"Amber","Red")))))</f>
        <v>Not live yet</v>
      </c>
      <c r="S18" s="28" t="str">
        <f aca="false">IF(OR(A18="",Q18="",N18="",O18="",O18=N18),"",MAX(0,MIN(1,(Q18-N18)/(O18-N18))))</f>
        <v/>
      </c>
      <c r="T18" s="14" t="n">
        <v>46367</v>
      </c>
      <c r="U18" s="13" t="s">
        <v>63</v>
      </c>
      <c r="V18" s="13" t="s">
        <v>209</v>
      </c>
      <c r="W18" s="13" t="s">
        <v>72</v>
      </c>
      <c r="X18" s="27" t="str">
        <f aca="false">IF(A18="","",IF(OR(U18="Pending decision",W18="Blocked"),"At risk",IF(U18="Proposed","Needs approval",IF(AND(U18="Approved",OR(V18="Yes",V18="Not applicable"),W18="Yes"),"Ready","In progress"))))</f>
        <v>In progress</v>
      </c>
      <c r="Y18" s="14" t="n">
        <v>46360</v>
      </c>
      <c r="Z18" s="13" t="s">
        <v>273</v>
      </c>
      <c r="AA18" s="12" t="s">
        <v>274</v>
      </c>
      <c r="AB18" s="12" t="s">
        <v>275</v>
      </c>
      <c r="AC18" s="12" t="s">
        <v>276</v>
      </c>
      <c r="AD18" s="29" t="str">
        <f aca="false">IF(X18="At risk",ROW(),"")</f>
        <v/>
      </c>
    </row>
    <row r="19" customFormat="false" ht="45" hidden="false" customHeight="true" outlineLevel="0" collapsed="false">
      <c r="A19" s="13" t="s">
        <v>277</v>
      </c>
      <c r="B19" s="13" t="s">
        <v>25</v>
      </c>
      <c r="C19" s="12" t="s">
        <v>278</v>
      </c>
      <c r="D19" s="12" t="s">
        <v>279</v>
      </c>
      <c r="E19" s="12" t="s">
        <v>280</v>
      </c>
      <c r="F19" s="12" t="s">
        <v>281</v>
      </c>
      <c r="G19" s="13" t="s">
        <v>119</v>
      </c>
      <c r="H19" s="13" t="s">
        <v>161</v>
      </c>
      <c r="I19" s="12" t="s">
        <v>282</v>
      </c>
      <c r="J19" s="12" t="s">
        <v>283</v>
      </c>
      <c r="K19" s="13" t="s">
        <v>123</v>
      </c>
      <c r="L19" s="13" t="s">
        <v>124</v>
      </c>
      <c r="M19" s="12" t="s">
        <v>125</v>
      </c>
      <c r="N19" s="25"/>
      <c r="O19" s="25" t="n">
        <v>0.005</v>
      </c>
      <c r="P19" s="25" t="n">
        <v>0.01</v>
      </c>
      <c r="Q19" s="26"/>
      <c r="R19" s="27" t="str">
        <f aca="false">IF(OR(A19="",O19=""),"",IF(Q19="","Not live yet",IF(H19="Higher is better",IF(Q19&gt;=O19,"Green",IF(Q19&gt;=P19,"Amber","Red")),IF(Q19&lt;=O19,"Green",IF(Q19&lt;=P19,"Amber","Red")))))</f>
        <v>Not live yet</v>
      </c>
      <c r="S19" s="28" t="str">
        <f aca="false">IF(OR(A19="",Q19="",N19="",O19="",O19=N19),"",MAX(0,MIN(1,(Q19-N19)/(O19-N19))))</f>
        <v/>
      </c>
      <c r="T19" s="14" t="n">
        <v>46367</v>
      </c>
      <c r="U19" s="13" t="s">
        <v>63</v>
      </c>
      <c r="V19" s="13" t="s">
        <v>209</v>
      </c>
      <c r="W19" s="13" t="s">
        <v>127</v>
      </c>
      <c r="X19" s="27" t="str">
        <f aca="false">IF(A19="","",IF(OR(U19="Pending decision",W19="Blocked"),"At risk",IF(U19="Proposed","Needs approval",IF(AND(U19="Approved",OR(V19="Yes",V19="Not applicable"),W19="Yes"),"Ready","In progress"))))</f>
        <v>In progress</v>
      </c>
      <c r="Y19" s="14" t="n">
        <v>46360</v>
      </c>
      <c r="Z19" s="13" t="s">
        <v>284</v>
      </c>
      <c r="AA19" s="12" t="s">
        <v>285</v>
      </c>
      <c r="AB19" s="12" t="s">
        <v>286</v>
      </c>
      <c r="AC19" s="12" t="s">
        <v>287</v>
      </c>
      <c r="AD19" s="29" t="str">
        <f aca="false">IF(X19="At risk",ROW(),"")</f>
        <v/>
      </c>
    </row>
    <row r="20" customFormat="false" ht="45" hidden="false" customHeight="true" outlineLevel="0" collapsed="false">
      <c r="A20" s="13" t="s">
        <v>288</v>
      </c>
      <c r="B20" s="13" t="s">
        <v>25</v>
      </c>
      <c r="C20" s="12" t="s">
        <v>289</v>
      </c>
      <c r="D20" s="12" t="s">
        <v>290</v>
      </c>
      <c r="E20" s="12" t="s">
        <v>291</v>
      </c>
      <c r="F20" s="12" t="s">
        <v>292</v>
      </c>
      <c r="G20" s="13" t="s">
        <v>195</v>
      </c>
      <c r="H20" s="13" t="s">
        <v>161</v>
      </c>
      <c r="I20" s="12" t="s">
        <v>293</v>
      </c>
      <c r="J20" s="12" t="s">
        <v>294</v>
      </c>
      <c r="K20" s="13" t="s">
        <v>123</v>
      </c>
      <c r="L20" s="13" t="s">
        <v>149</v>
      </c>
      <c r="M20" s="12" t="s">
        <v>295</v>
      </c>
      <c r="N20" s="30"/>
      <c r="O20" s="30" t="n">
        <v>0</v>
      </c>
      <c r="P20" s="30" t="n">
        <v>0</v>
      </c>
      <c r="Q20" s="31"/>
      <c r="R20" s="27" t="str">
        <f aca="false">IF(OR(A20="",O20=""),"",IF(Q20="","Not live yet",IF(H20="Higher is better",IF(Q20&gt;=O20,"Green",IF(Q20&gt;=P20,"Amber","Red")),IF(Q20&lt;=O20,"Green",IF(Q20&lt;=P20,"Amber","Red")))))</f>
        <v>Not live yet</v>
      </c>
      <c r="S20" s="28" t="str">
        <f aca="false">IF(OR(A20="",Q20="",N20="",O20="",O20=N20),"",MAX(0,MIN(1,(Q20-N20)/(O20-N20))))</f>
        <v/>
      </c>
      <c r="T20" s="14" t="n">
        <v>46367</v>
      </c>
      <c r="U20" s="13" t="s">
        <v>63</v>
      </c>
      <c r="V20" s="13" t="s">
        <v>209</v>
      </c>
      <c r="W20" s="13" t="s">
        <v>72</v>
      </c>
      <c r="X20" s="27" t="str">
        <f aca="false">IF(A20="","",IF(OR(U20="Pending decision",W20="Blocked"),"At risk",IF(U20="Proposed","Needs approval",IF(AND(U20="Approved",OR(V20="Yes",V20="Not applicable"),W20="Yes"),"Ready","In progress"))))</f>
        <v>In progress</v>
      </c>
      <c r="Y20" s="14" t="n">
        <v>46360</v>
      </c>
      <c r="Z20" s="13" t="s">
        <v>296</v>
      </c>
      <c r="AA20" s="12" t="s">
        <v>297</v>
      </c>
      <c r="AB20" s="12" t="s">
        <v>298</v>
      </c>
      <c r="AC20" s="12" t="s">
        <v>299</v>
      </c>
      <c r="AD20" s="29" t="str">
        <f aca="false">IF(X20="At risk",ROW(),"")</f>
        <v/>
      </c>
    </row>
    <row r="21" customFormat="false" ht="45" hidden="false" customHeight="true" outlineLevel="0" collapsed="false">
      <c r="A21" s="13" t="s">
        <v>300</v>
      </c>
      <c r="B21" s="13" t="s">
        <v>25</v>
      </c>
      <c r="C21" s="12" t="s">
        <v>301</v>
      </c>
      <c r="D21" s="12" t="s">
        <v>302</v>
      </c>
      <c r="E21" s="12" t="s">
        <v>303</v>
      </c>
      <c r="F21" s="12" t="s">
        <v>304</v>
      </c>
      <c r="G21" s="13" t="s">
        <v>195</v>
      </c>
      <c r="H21" s="13" t="s">
        <v>161</v>
      </c>
      <c r="I21" s="12" t="s">
        <v>305</v>
      </c>
      <c r="J21" s="12" t="s">
        <v>306</v>
      </c>
      <c r="K21" s="13" t="s">
        <v>123</v>
      </c>
      <c r="L21" s="13" t="s">
        <v>307</v>
      </c>
      <c r="M21" s="12" t="s">
        <v>308</v>
      </c>
      <c r="N21" s="30"/>
      <c r="O21" s="30" t="n">
        <v>0</v>
      </c>
      <c r="P21" s="30" t="n">
        <v>2</v>
      </c>
      <c r="Q21" s="31"/>
      <c r="R21" s="27" t="str">
        <f aca="false">IF(OR(A21="",O21=""),"",IF(Q21="","Not live yet",IF(H21="Higher is better",IF(Q21&gt;=O21,"Green",IF(Q21&gt;=P21,"Amber","Red")),IF(Q21&lt;=O21,"Green",IF(Q21&lt;=P21,"Amber","Red")))))</f>
        <v>Not live yet</v>
      </c>
      <c r="S21" s="28" t="str">
        <f aca="false">IF(OR(A21="",Q21="",N21="",O21="",O21=N21),"",MAX(0,MIN(1,(Q21-N21)/(O21-N21))))</f>
        <v/>
      </c>
      <c r="T21" s="14" t="n">
        <v>46367</v>
      </c>
      <c r="U21" s="13" t="s">
        <v>63</v>
      </c>
      <c r="V21" s="13" t="s">
        <v>209</v>
      </c>
      <c r="W21" s="13" t="s">
        <v>72</v>
      </c>
      <c r="X21" s="27" t="str">
        <f aca="false">IF(A21="","",IF(OR(U21="Pending decision",W21="Blocked"),"At risk",IF(U21="Proposed","Needs approval",IF(AND(U21="Approved",OR(V21="Yes",V21="Not applicable"),W21="Yes"),"Ready","In progress"))))</f>
        <v>In progress</v>
      </c>
      <c r="Y21" s="14" t="n">
        <v>46360</v>
      </c>
      <c r="Z21" s="13" t="s">
        <v>309</v>
      </c>
      <c r="AA21" s="12" t="s">
        <v>310</v>
      </c>
      <c r="AB21" s="12" t="s">
        <v>311</v>
      </c>
      <c r="AC21" s="12"/>
      <c r="AD21" s="29" t="str">
        <f aca="false">IF(X21="At risk",ROW(),"")</f>
        <v/>
      </c>
    </row>
    <row r="22" customFormat="false" ht="45" hidden="false" customHeight="true" outlineLevel="0" collapsed="false">
      <c r="A22" s="13" t="s">
        <v>312</v>
      </c>
      <c r="B22" s="13" t="s">
        <v>21</v>
      </c>
      <c r="C22" s="12" t="s">
        <v>313</v>
      </c>
      <c r="D22" s="12" t="s">
        <v>314</v>
      </c>
      <c r="E22" s="12" t="s">
        <v>315</v>
      </c>
      <c r="F22" s="12" t="s">
        <v>316</v>
      </c>
      <c r="G22" s="13" t="s">
        <v>317</v>
      </c>
      <c r="H22" s="13" t="s">
        <v>120</v>
      </c>
      <c r="I22" s="12" t="s">
        <v>318</v>
      </c>
      <c r="J22" s="12" t="s">
        <v>319</v>
      </c>
      <c r="K22" s="13" t="s">
        <v>123</v>
      </c>
      <c r="L22" s="13" t="s">
        <v>124</v>
      </c>
      <c r="M22" s="12" t="s">
        <v>185</v>
      </c>
      <c r="N22" s="32"/>
      <c r="O22" s="32" t="n">
        <v>4.2</v>
      </c>
      <c r="P22" s="32" t="n">
        <v>3.8</v>
      </c>
      <c r="Q22" s="33"/>
      <c r="R22" s="27" t="str">
        <f aca="false">IF(OR(A22="",O22=""),"",IF(Q22="","Not live yet",IF(H22="Higher is better",IF(Q22&gt;=O22,"Green",IF(Q22&gt;=P22,"Amber","Red")),IF(Q22&lt;=O22,"Green",IF(Q22&lt;=P22,"Amber","Red")))))</f>
        <v>Not live yet</v>
      </c>
      <c r="S22" s="28" t="str">
        <f aca="false">IF(OR(A22="",Q22="",N22="",O22="",O22=N22),"",MAX(0,MIN(1,(Q22-N22)/(O22-N22))))</f>
        <v/>
      </c>
      <c r="T22" s="14" t="n">
        <v>46752</v>
      </c>
      <c r="U22" s="13" t="s">
        <v>64</v>
      </c>
      <c r="V22" s="13" t="s">
        <v>127</v>
      </c>
      <c r="W22" s="13" t="s">
        <v>127</v>
      </c>
      <c r="X22" s="27" t="str">
        <f aca="false">IF(A22="","",IF(OR(U22="Pending decision",W22="Blocked"),"At risk",IF(U22="Proposed","Needs approval",IF(AND(U22="Approved",OR(V22="Yes",V22="Not applicable"),W22="Yes"),"Ready","In progress"))))</f>
        <v>Needs approval</v>
      </c>
      <c r="Y22" s="14" t="n">
        <v>46402</v>
      </c>
      <c r="Z22" s="13"/>
      <c r="AA22" s="12"/>
      <c r="AB22" s="12" t="s">
        <v>320</v>
      </c>
      <c r="AC22" s="12" t="s">
        <v>321</v>
      </c>
      <c r="AD22" s="29" t="str">
        <f aca="false">IF(X22="At risk",ROW(),"")</f>
        <v/>
      </c>
    </row>
    <row r="23" customFormat="false" ht="70.5" hidden="false" customHeight="true" outlineLevel="0" collapsed="false">
      <c r="A23" s="13" t="s">
        <v>322</v>
      </c>
      <c r="B23" s="13" t="s">
        <v>21</v>
      </c>
      <c r="C23" s="12" t="s">
        <v>323</v>
      </c>
      <c r="D23" s="12" t="s">
        <v>324</v>
      </c>
      <c r="E23" s="12" t="s">
        <v>325</v>
      </c>
      <c r="F23" s="12" t="s">
        <v>326</v>
      </c>
      <c r="G23" s="13" t="s">
        <v>119</v>
      </c>
      <c r="H23" s="13" t="s">
        <v>120</v>
      </c>
      <c r="I23" s="12" t="s">
        <v>327</v>
      </c>
      <c r="J23" s="12" t="s">
        <v>328</v>
      </c>
      <c r="K23" s="13" t="s">
        <v>123</v>
      </c>
      <c r="L23" s="13" t="s">
        <v>124</v>
      </c>
      <c r="M23" s="12" t="s">
        <v>150</v>
      </c>
      <c r="N23" s="25"/>
      <c r="O23" s="25" t="n">
        <v>0.7</v>
      </c>
      <c r="P23" s="25" t="n">
        <v>0.55</v>
      </c>
      <c r="Q23" s="26"/>
      <c r="R23" s="27" t="str">
        <f aca="false">IF(OR(A23="",O23=""),"",IF(Q23="","Not live yet",IF(H23="Higher is better",IF(Q23&gt;=O23,"Green",IF(Q23&gt;=P23,"Amber","Red")),IF(Q23&lt;=O23,"Green",IF(Q23&lt;=P23,"Amber","Red")))))</f>
        <v>Not live yet</v>
      </c>
      <c r="S23" s="28" t="str">
        <f aca="false">IF(OR(A23="",Q23="",N23="",O23="",O23=N23),"",MAX(0,MIN(1,(Q23-N23)/(O23-N23))))</f>
        <v/>
      </c>
      <c r="T23" s="14" t="n">
        <v>46934</v>
      </c>
      <c r="U23" s="13" t="s">
        <v>64</v>
      </c>
      <c r="V23" s="13" t="s">
        <v>209</v>
      </c>
      <c r="W23" s="13" t="s">
        <v>127</v>
      </c>
      <c r="X23" s="27" t="str">
        <f aca="false">IF(A23="","",IF(OR(U23="Pending decision",W23="Blocked"),"At risk",IF(U23="Proposed","Needs approval",IF(AND(U23="Approved",OR(V23="Yes",V23="Not applicable"),W23="Yes"),"Ready","In progress"))))</f>
        <v>Needs approval</v>
      </c>
      <c r="Y23" s="14" t="n">
        <v>46573</v>
      </c>
      <c r="Z23" s="13"/>
      <c r="AA23" s="12"/>
      <c r="AB23" s="12" t="s">
        <v>329</v>
      </c>
      <c r="AC23" s="12" t="s">
        <v>330</v>
      </c>
      <c r="AD23" s="29" t="str">
        <f aca="false">IF(X23="At risk",ROW(),"")</f>
        <v/>
      </c>
    </row>
    <row r="24" customFormat="false" ht="57.75" hidden="false" customHeight="true" outlineLevel="0" collapsed="false">
      <c r="A24" s="13" t="s">
        <v>331</v>
      </c>
      <c r="B24" s="13" t="s">
        <v>23</v>
      </c>
      <c r="C24" s="12" t="s">
        <v>332</v>
      </c>
      <c r="D24" s="12" t="s">
        <v>333</v>
      </c>
      <c r="E24" s="12" t="s">
        <v>334</v>
      </c>
      <c r="F24" s="12" t="s">
        <v>335</v>
      </c>
      <c r="G24" s="13" t="s">
        <v>119</v>
      </c>
      <c r="H24" s="13" t="s">
        <v>120</v>
      </c>
      <c r="I24" s="12" t="s">
        <v>336</v>
      </c>
      <c r="J24" s="12" t="s">
        <v>337</v>
      </c>
      <c r="K24" s="13" t="s">
        <v>208</v>
      </c>
      <c r="L24" s="13" t="s">
        <v>149</v>
      </c>
      <c r="M24" s="12" t="s">
        <v>185</v>
      </c>
      <c r="N24" s="25"/>
      <c r="O24" s="25" t="n">
        <v>0.75</v>
      </c>
      <c r="P24" s="25" t="n">
        <v>0.6</v>
      </c>
      <c r="Q24" s="26"/>
      <c r="R24" s="27" t="str">
        <f aca="false">IF(OR(A24="",O24=""),"",IF(Q24="","Not live yet",IF(H24="Higher is better",IF(Q24&gt;=O24,"Green",IF(Q24&gt;=P24,"Amber","Red")),IF(Q24&lt;=O24,"Green",IF(Q24&lt;=P24,"Amber","Red")))))</f>
        <v>Not live yet</v>
      </c>
      <c r="S24" s="28" t="str">
        <f aca="false">IF(OR(A24="",Q24="",N24="",O24="",O24=N24),"",MAX(0,MIN(1,(Q24-N24)/(O24-N24))))</f>
        <v/>
      </c>
      <c r="T24" s="14" t="n">
        <v>46934</v>
      </c>
      <c r="U24" s="13" t="s">
        <v>64</v>
      </c>
      <c r="V24" s="13" t="s">
        <v>209</v>
      </c>
      <c r="W24" s="13" t="s">
        <v>127</v>
      </c>
      <c r="X24" s="27" t="str">
        <f aca="false">IF(A24="","",IF(OR(U24="Pending decision",W24="Blocked"),"At risk",IF(U24="Proposed","Needs approval",IF(AND(U24="Approved",OR(V24="Yes",V24="Not applicable"),W24="Yes"),"Ready","In progress"))))</f>
        <v>Needs approval</v>
      </c>
      <c r="Y24" s="14" t="n">
        <v>46573</v>
      </c>
      <c r="Z24" s="13"/>
      <c r="AA24" s="12"/>
      <c r="AB24" s="12" t="s">
        <v>338</v>
      </c>
      <c r="AC24" s="12" t="s">
        <v>339</v>
      </c>
      <c r="AD24" s="29" t="str">
        <f aca="false">IF(X24="At risk",ROW(),"")</f>
        <v/>
      </c>
    </row>
    <row r="25" customFormat="false" ht="57.75" hidden="false" customHeight="true" outlineLevel="0" collapsed="false">
      <c r="A25" s="13" t="s">
        <v>340</v>
      </c>
      <c r="B25" s="13" t="s">
        <v>25</v>
      </c>
      <c r="C25" s="12" t="s">
        <v>341</v>
      </c>
      <c r="D25" s="12" t="s">
        <v>342</v>
      </c>
      <c r="E25" s="12" t="s">
        <v>343</v>
      </c>
      <c r="F25" s="12" t="s">
        <v>344</v>
      </c>
      <c r="G25" s="13" t="s">
        <v>119</v>
      </c>
      <c r="H25" s="13" t="s">
        <v>161</v>
      </c>
      <c r="I25" s="12" t="s">
        <v>345</v>
      </c>
      <c r="J25" s="12" t="s">
        <v>346</v>
      </c>
      <c r="K25" s="13" t="s">
        <v>123</v>
      </c>
      <c r="L25" s="13" t="s">
        <v>124</v>
      </c>
      <c r="M25" s="12" t="s">
        <v>347</v>
      </c>
      <c r="N25" s="25"/>
      <c r="O25" s="25" t="n">
        <v>0.01</v>
      </c>
      <c r="P25" s="25" t="n">
        <v>0.02</v>
      </c>
      <c r="Q25" s="26"/>
      <c r="R25" s="27" t="str">
        <f aca="false">IF(OR(A25="",O25=""),"",IF(Q25="","Not live yet",IF(H25="Higher is better",IF(Q25&gt;=O25,"Green",IF(Q25&gt;=P25,"Amber","Red")),IF(Q25&lt;=O25,"Green",IF(Q25&lt;=P25,"Amber","Red")))))</f>
        <v>Not live yet</v>
      </c>
      <c r="S25" s="28" t="str">
        <f aca="false">IF(OR(A25="",Q25="",N25="",O25="",O25=N25),"",MAX(0,MIN(1,(Q25-N25)/(O25-N25))))</f>
        <v/>
      </c>
      <c r="T25" s="14" t="n">
        <v>46934</v>
      </c>
      <c r="U25" s="13" t="s">
        <v>64</v>
      </c>
      <c r="V25" s="13" t="s">
        <v>209</v>
      </c>
      <c r="W25" s="13" t="s">
        <v>127</v>
      </c>
      <c r="X25" s="27" t="str">
        <f aca="false">IF(A25="","",IF(OR(U25="Pending decision",W25="Blocked"),"At risk",IF(U25="Proposed","Needs approval",IF(AND(U25="Approved",OR(V25="Yes",V25="Not applicable"),W25="Yes"),"Ready","In progress"))))</f>
        <v>Needs approval</v>
      </c>
      <c r="Y25" s="14" t="n">
        <v>46482</v>
      </c>
      <c r="Z25" s="13"/>
      <c r="AA25" s="12"/>
      <c r="AB25" s="12" t="s">
        <v>348</v>
      </c>
      <c r="AC25" s="12" t="s">
        <v>349</v>
      </c>
      <c r="AD25" s="29" t="str">
        <f aca="false">IF(X25="At risk",ROW(),"")</f>
        <v/>
      </c>
    </row>
    <row r="26" customFormat="false" ht="19.5" hidden="false" customHeight="true" outlineLevel="0" collapsed="false">
      <c r="A26" s="13"/>
      <c r="B26" s="13"/>
      <c r="C26" s="12"/>
      <c r="D26" s="12"/>
      <c r="E26" s="12"/>
      <c r="F26" s="12"/>
      <c r="G26" s="13"/>
      <c r="H26" s="13"/>
      <c r="I26" s="12"/>
      <c r="J26" s="12"/>
      <c r="K26" s="13"/>
      <c r="L26" s="13"/>
      <c r="M26" s="12"/>
      <c r="N26" s="13"/>
      <c r="O26" s="13"/>
      <c r="P26" s="13"/>
      <c r="Q26" s="13"/>
      <c r="R26" s="27" t="str">
        <f aca="false">IF(OR(A26="",O26=""),"",IF(Q26="","Not live yet",IF(H26="Higher is better",IF(Q26&gt;=O26,"Green",IF(Q26&gt;=P26,"Amber","Red")),IF(Q26&lt;=O26,"Green",IF(Q26&lt;=P26,"Amber","Red")))))</f>
        <v/>
      </c>
      <c r="S26" s="28" t="str">
        <f aca="false">IF(OR(A26="",Q26="",N26="",O26="",O26=N26),"",MAX(0,MIN(1,(Q26-N26)/(O26-N26))))</f>
        <v/>
      </c>
      <c r="T26" s="14"/>
      <c r="U26" s="13"/>
      <c r="V26" s="13"/>
      <c r="W26" s="13"/>
      <c r="X26" s="27" t="str">
        <f aca="false">IF(A26="","",IF(OR(U26="Pending decision",W26="Blocked"),"At risk",IF(U26="Proposed","Needs approval",IF(AND(U26="Approved",OR(V26="Yes",V26="Not applicable"),W26="Yes"),"Ready","In progress"))))</f>
        <v/>
      </c>
      <c r="Y26" s="14"/>
      <c r="Z26" s="13"/>
      <c r="AA26" s="12"/>
      <c r="AB26" s="12"/>
      <c r="AC26" s="12"/>
      <c r="AD26" s="29" t="str">
        <f aca="false">IF(X26="At risk",ROW(),"")</f>
        <v/>
      </c>
    </row>
    <row r="27" customFormat="false" ht="19.5" hidden="false" customHeight="true" outlineLevel="0" collapsed="false">
      <c r="A27" s="13"/>
      <c r="B27" s="13"/>
      <c r="C27" s="12"/>
      <c r="D27" s="12"/>
      <c r="E27" s="12"/>
      <c r="F27" s="12"/>
      <c r="G27" s="13"/>
      <c r="H27" s="13"/>
      <c r="I27" s="12"/>
      <c r="J27" s="12"/>
      <c r="K27" s="13"/>
      <c r="L27" s="13"/>
      <c r="M27" s="12"/>
      <c r="N27" s="13"/>
      <c r="O27" s="13"/>
      <c r="P27" s="13"/>
      <c r="Q27" s="13"/>
      <c r="R27" s="27" t="str">
        <f aca="false">IF(OR(A27="",O27=""),"",IF(Q27="","Not live yet",IF(H27="Higher is better",IF(Q27&gt;=O27,"Green",IF(Q27&gt;=P27,"Amber","Red")),IF(Q27&lt;=O27,"Green",IF(Q27&lt;=P27,"Amber","Red")))))</f>
        <v/>
      </c>
      <c r="S27" s="28" t="str">
        <f aca="false">IF(OR(A27="",Q27="",N27="",O27="",O27=N27),"",MAX(0,MIN(1,(Q27-N27)/(O27-N27))))</f>
        <v/>
      </c>
      <c r="T27" s="14"/>
      <c r="U27" s="13"/>
      <c r="V27" s="13"/>
      <c r="W27" s="13"/>
      <c r="X27" s="27" t="str">
        <f aca="false">IF(A27="","",IF(OR(U27="Pending decision",W27="Blocked"),"At risk",IF(U27="Proposed","Needs approval",IF(AND(U27="Approved",OR(V27="Yes",V27="Not applicable"),W27="Yes"),"Ready","In progress"))))</f>
        <v/>
      </c>
      <c r="Y27" s="14"/>
      <c r="Z27" s="13"/>
      <c r="AA27" s="12"/>
      <c r="AB27" s="12"/>
      <c r="AC27" s="12"/>
      <c r="AD27" s="29" t="str">
        <f aca="false">IF(X27="At risk",ROW(),"")</f>
        <v/>
      </c>
    </row>
    <row r="28" customFormat="false" ht="19.5" hidden="false" customHeight="true" outlineLevel="0" collapsed="false">
      <c r="A28" s="13"/>
      <c r="B28" s="13"/>
      <c r="C28" s="12"/>
      <c r="D28" s="12"/>
      <c r="E28" s="12"/>
      <c r="F28" s="12"/>
      <c r="G28" s="13"/>
      <c r="H28" s="13"/>
      <c r="I28" s="12"/>
      <c r="J28" s="12"/>
      <c r="K28" s="13"/>
      <c r="L28" s="13"/>
      <c r="M28" s="12"/>
      <c r="N28" s="13"/>
      <c r="O28" s="13"/>
      <c r="P28" s="13"/>
      <c r="Q28" s="13"/>
      <c r="R28" s="27" t="str">
        <f aca="false">IF(OR(A28="",O28=""),"",IF(Q28="","Not live yet",IF(H28="Higher is better",IF(Q28&gt;=O28,"Green",IF(Q28&gt;=P28,"Amber","Red")),IF(Q28&lt;=O28,"Green",IF(Q28&lt;=P28,"Amber","Red")))))</f>
        <v/>
      </c>
      <c r="S28" s="28" t="str">
        <f aca="false">IF(OR(A28="",Q28="",N28="",O28="",O28=N28),"",MAX(0,MIN(1,(Q28-N28)/(O28-N28))))</f>
        <v/>
      </c>
      <c r="T28" s="14"/>
      <c r="U28" s="13"/>
      <c r="V28" s="13"/>
      <c r="W28" s="13"/>
      <c r="X28" s="27" t="str">
        <f aca="false">IF(A28="","",IF(OR(U28="Pending decision",W28="Blocked"),"At risk",IF(U28="Proposed","Needs approval",IF(AND(U28="Approved",OR(V28="Yes",V28="Not applicable"),W28="Yes"),"Ready","In progress"))))</f>
        <v/>
      </c>
      <c r="Y28" s="14"/>
      <c r="Z28" s="13"/>
      <c r="AA28" s="12"/>
      <c r="AB28" s="12"/>
      <c r="AC28" s="12"/>
      <c r="AD28" s="29" t="str">
        <f aca="false">IF(X28="At risk",ROW(),"")</f>
        <v/>
      </c>
    </row>
    <row r="29" customFormat="false" ht="19.5" hidden="false" customHeight="true" outlineLevel="0" collapsed="false">
      <c r="A29" s="13"/>
      <c r="B29" s="13"/>
      <c r="C29" s="12"/>
      <c r="D29" s="12"/>
      <c r="E29" s="12"/>
      <c r="F29" s="12"/>
      <c r="G29" s="13"/>
      <c r="H29" s="13"/>
      <c r="I29" s="12"/>
      <c r="J29" s="12"/>
      <c r="K29" s="13"/>
      <c r="L29" s="13"/>
      <c r="M29" s="12"/>
      <c r="N29" s="13"/>
      <c r="O29" s="13"/>
      <c r="P29" s="13"/>
      <c r="Q29" s="13"/>
      <c r="R29" s="27" t="str">
        <f aca="false">IF(OR(A29="",O29=""),"",IF(Q29="","Not live yet",IF(H29="Higher is better",IF(Q29&gt;=O29,"Green",IF(Q29&gt;=P29,"Amber","Red")),IF(Q29&lt;=O29,"Green",IF(Q29&lt;=P29,"Amber","Red")))))</f>
        <v/>
      </c>
      <c r="S29" s="28" t="str">
        <f aca="false">IF(OR(A29="",Q29="",N29="",O29="",O29=N29),"",MAX(0,MIN(1,(Q29-N29)/(O29-N29))))</f>
        <v/>
      </c>
      <c r="T29" s="14"/>
      <c r="U29" s="13"/>
      <c r="V29" s="13"/>
      <c r="W29" s="13"/>
      <c r="X29" s="27" t="str">
        <f aca="false">IF(A29="","",IF(OR(U29="Pending decision",W29="Blocked"),"At risk",IF(U29="Proposed","Needs approval",IF(AND(U29="Approved",OR(V29="Yes",V29="Not applicable"),W29="Yes"),"Ready","In progress"))))</f>
        <v/>
      </c>
      <c r="Y29" s="14"/>
      <c r="Z29" s="13"/>
      <c r="AA29" s="12"/>
      <c r="AB29" s="12"/>
      <c r="AC29" s="12"/>
      <c r="AD29" s="29" t="str">
        <f aca="false">IF(X29="At risk",ROW(),"")</f>
        <v/>
      </c>
    </row>
    <row r="30" customFormat="false" ht="19.5" hidden="false" customHeight="true" outlineLevel="0" collapsed="false">
      <c r="A30" s="13"/>
      <c r="B30" s="13"/>
      <c r="C30" s="12"/>
      <c r="D30" s="12"/>
      <c r="E30" s="12"/>
      <c r="F30" s="12"/>
      <c r="G30" s="13"/>
      <c r="H30" s="13"/>
      <c r="I30" s="12"/>
      <c r="J30" s="12"/>
      <c r="K30" s="13"/>
      <c r="L30" s="13"/>
      <c r="M30" s="12"/>
      <c r="N30" s="13"/>
      <c r="O30" s="13"/>
      <c r="P30" s="13"/>
      <c r="Q30" s="13"/>
      <c r="R30" s="27" t="str">
        <f aca="false">IF(OR(A30="",O30=""),"",IF(Q30="","Not live yet",IF(H30="Higher is better",IF(Q30&gt;=O30,"Green",IF(Q30&gt;=P30,"Amber","Red")),IF(Q30&lt;=O30,"Green",IF(Q30&lt;=P30,"Amber","Red")))))</f>
        <v/>
      </c>
      <c r="S30" s="28" t="str">
        <f aca="false">IF(OR(A30="",Q30="",N30="",O30="",O30=N30),"",MAX(0,MIN(1,(Q30-N30)/(O30-N30))))</f>
        <v/>
      </c>
      <c r="T30" s="14"/>
      <c r="U30" s="13"/>
      <c r="V30" s="13"/>
      <c r="W30" s="13"/>
      <c r="X30" s="27" t="str">
        <f aca="false">IF(A30="","",IF(OR(U30="Pending decision",W30="Blocked"),"At risk",IF(U30="Proposed","Needs approval",IF(AND(U30="Approved",OR(V30="Yes",V30="Not applicable"),W30="Yes"),"Ready","In progress"))))</f>
        <v/>
      </c>
      <c r="Y30" s="14"/>
      <c r="Z30" s="13"/>
      <c r="AA30" s="12"/>
      <c r="AB30" s="12"/>
      <c r="AC30" s="12"/>
      <c r="AD30" s="29" t="str">
        <f aca="false">IF(X30="At risk",ROW(),"")</f>
        <v/>
      </c>
    </row>
    <row r="31" customFormat="false" ht="19.5" hidden="false" customHeight="true" outlineLevel="0" collapsed="false">
      <c r="A31" s="13"/>
      <c r="B31" s="13"/>
      <c r="C31" s="12"/>
      <c r="D31" s="12"/>
      <c r="E31" s="12"/>
      <c r="F31" s="12"/>
      <c r="G31" s="13"/>
      <c r="H31" s="13"/>
      <c r="I31" s="12"/>
      <c r="J31" s="12"/>
      <c r="K31" s="13"/>
      <c r="L31" s="13"/>
      <c r="M31" s="12"/>
      <c r="N31" s="13"/>
      <c r="O31" s="13"/>
      <c r="P31" s="13"/>
      <c r="Q31" s="13"/>
      <c r="R31" s="27" t="str">
        <f aca="false">IF(OR(A31="",O31=""),"",IF(Q31="","Not live yet",IF(H31="Higher is better",IF(Q31&gt;=O31,"Green",IF(Q31&gt;=P31,"Amber","Red")),IF(Q31&lt;=O31,"Green",IF(Q31&lt;=P31,"Amber","Red")))))</f>
        <v/>
      </c>
      <c r="S31" s="28" t="str">
        <f aca="false">IF(OR(A31="",Q31="",N31="",O31="",O31=N31),"",MAX(0,MIN(1,(Q31-N31)/(O31-N31))))</f>
        <v/>
      </c>
      <c r="T31" s="14"/>
      <c r="U31" s="13"/>
      <c r="V31" s="13"/>
      <c r="W31" s="13"/>
      <c r="X31" s="27" t="str">
        <f aca="false">IF(A31="","",IF(OR(U31="Pending decision",W31="Blocked"),"At risk",IF(U31="Proposed","Needs approval",IF(AND(U31="Approved",OR(V31="Yes",V31="Not applicable"),W31="Yes"),"Ready","In progress"))))</f>
        <v/>
      </c>
      <c r="Y31" s="14"/>
      <c r="Z31" s="13"/>
      <c r="AA31" s="12"/>
      <c r="AB31" s="12"/>
      <c r="AC31" s="12"/>
      <c r="AD31" s="29" t="str">
        <f aca="false">IF(X31="At risk",ROW(),"")</f>
        <v/>
      </c>
    </row>
    <row r="32" customFormat="false" ht="19.5" hidden="false" customHeight="true" outlineLevel="0" collapsed="false">
      <c r="A32" s="13"/>
      <c r="B32" s="13"/>
      <c r="C32" s="12"/>
      <c r="D32" s="12"/>
      <c r="E32" s="12"/>
      <c r="F32" s="12"/>
      <c r="G32" s="13"/>
      <c r="H32" s="13"/>
      <c r="I32" s="12"/>
      <c r="J32" s="12"/>
      <c r="K32" s="13"/>
      <c r="L32" s="13"/>
      <c r="M32" s="12"/>
      <c r="N32" s="13"/>
      <c r="O32" s="13"/>
      <c r="P32" s="13"/>
      <c r="Q32" s="13"/>
      <c r="R32" s="27" t="str">
        <f aca="false">IF(OR(A32="",O32=""),"",IF(Q32="","Not live yet",IF(H32="Higher is better",IF(Q32&gt;=O32,"Green",IF(Q32&gt;=P32,"Amber","Red")),IF(Q32&lt;=O32,"Green",IF(Q32&lt;=P32,"Amber","Red")))))</f>
        <v/>
      </c>
      <c r="S32" s="28" t="str">
        <f aca="false">IF(OR(A32="",Q32="",N32="",O32="",O32=N32),"",MAX(0,MIN(1,(Q32-N32)/(O32-N32))))</f>
        <v/>
      </c>
      <c r="T32" s="14"/>
      <c r="U32" s="13"/>
      <c r="V32" s="13"/>
      <c r="W32" s="13"/>
      <c r="X32" s="27" t="str">
        <f aca="false">IF(A32="","",IF(OR(U32="Pending decision",W32="Blocked"),"At risk",IF(U32="Proposed","Needs approval",IF(AND(U32="Approved",OR(V32="Yes",V32="Not applicable"),W32="Yes"),"Ready","In progress"))))</f>
        <v/>
      </c>
      <c r="Y32" s="14"/>
      <c r="Z32" s="13"/>
      <c r="AA32" s="12"/>
      <c r="AB32" s="12"/>
      <c r="AC32" s="12"/>
      <c r="AD32" s="29" t="str">
        <f aca="false">IF(X32="At risk",ROW(),"")</f>
        <v/>
      </c>
    </row>
    <row r="33" customFormat="false" ht="19.5" hidden="false" customHeight="true" outlineLevel="0" collapsed="false">
      <c r="A33" s="13"/>
      <c r="B33" s="13"/>
      <c r="C33" s="12"/>
      <c r="D33" s="12"/>
      <c r="E33" s="12"/>
      <c r="F33" s="12"/>
      <c r="G33" s="13"/>
      <c r="H33" s="13"/>
      <c r="I33" s="12"/>
      <c r="J33" s="12"/>
      <c r="K33" s="13"/>
      <c r="L33" s="13"/>
      <c r="M33" s="12"/>
      <c r="N33" s="13"/>
      <c r="O33" s="13"/>
      <c r="P33" s="13"/>
      <c r="Q33" s="13"/>
      <c r="R33" s="27" t="str">
        <f aca="false">IF(OR(A33="",O33=""),"",IF(Q33="","Not live yet",IF(H33="Higher is better",IF(Q33&gt;=O33,"Green",IF(Q33&gt;=P33,"Amber","Red")),IF(Q33&lt;=O33,"Green",IF(Q33&lt;=P33,"Amber","Red")))))</f>
        <v/>
      </c>
      <c r="S33" s="28" t="str">
        <f aca="false">IF(OR(A33="",Q33="",N33="",O33="",O33=N33),"",MAX(0,MIN(1,(Q33-N33)/(O33-N33))))</f>
        <v/>
      </c>
      <c r="T33" s="14"/>
      <c r="U33" s="13"/>
      <c r="V33" s="13"/>
      <c r="W33" s="13"/>
      <c r="X33" s="27" t="str">
        <f aca="false">IF(A33="","",IF(OR(U33="Pending decision",W33="Blocked"),"At risk",IF(U33="Proposed","Needs approval",IF(AND(U33="Approved",OR(V33="Yes",V33="Not applicable"),W33="Yes"),"Ready","In progress"))))</f>
        <v/>
      </c>
      <c r="Y33" s="14"/>
      <c r="Z33" s="13"/>
      <c r="AA33" s="12"/>
      <c r="AB33" s="12"/>
      <c r="AC33" s="12"/>
      <c r="AD33" s="29" t="str">
        <f aca="false">IF(X33="At risk",ROW(),"")</f>
        <v/>
      </c>
    </row>
    <row r="34" customFormat="false" ht="19.5" hidden="false" customHeight="true" outlineLevel="0" collapsed="false">
      <c r="A34" s="13"/>
      <c r="B34" s="13"/>
      <c r="C34" s="12"/>
      <c r="D34" s="12"/>
      <c r="E34" s="12"/>
      <c r="F34" s="12"/>
      <c r="G34" s="13"/>
      <c r="H34" s="13"/>
      <c r="I34" s="12"/>
      <c r="J34" s="12"/>
      <c r="K34" s="13"/>
      <c r="L34" s="13"/>
      <c r="M34" s="12"/>
      <c r="N34" s="13"/>
      <c r="O34" s="13"/>
      <c r="P34" s="13"/>
      <c r="Q34" s="13"/>
      <c r="R34" s="27" t="str">
        <f aca="false">IF(OR(A34="",O34=""),"",IF(Q34="","Not live yet",IF(H34="Higher is better",IF(Q34&gt;=O34,"Green",IF(Q34&gt;=P34,"Amber","Red")),IF(Q34&lt;=O34,"Green",IF(Q34&lt;=P34,"Amber","Red")))))</f>
        <v/>
      </c>
      <c r="S34" s="28" t="str">
        <f aca="false">IF(OR(A34="",Q34="",N34="",O34="",O34=N34),"",MAX(0,MIN(1,(Q34-N34)/(O34-N34))))</f>
        <v/>
      </c>
      <c r="T34" s="14"/>
      <c r="U34" s="13"/>
      <c r="V34" s="13"/>
      <c r="W34" s="13"/>
      <c r="X34" s="27" t="str">
        <f aca="false">IF(A34="","",IF(OR(U34="Pending decision",W34="Blocked"),"At risk",IF(U34="Proposed","Needs approval",IF(AND(U34="Approved",OR(V34="Yes",V34="Not applicable"),W34="Yes"),"Ready","In progress"))))</f>
        <v/>
      </c>
      <c r="Y34" s="14"/>
      <c r="Z34" s="13"/>
      <c r="AA34" s="12"/>
      <c r="AB34" s="12"/>
      <c r="AC34" s="12"/>
      <c r="AD34" s="29" t="str">
        <f aca="false">IF(X34="At risk",ROW(),"")</f>
        <v/>
      </c>
    </row>
    <row r="35" customFormat="false" ht="19.5" hidden="false" customHeight="true" outlineLevel="0" collapsed="false">
      <c r="A35" s="13"/>
      <c r="B35" s="13"/>
      <c r="C35" s="12"/>
      <c r="D35" s="12"/>
      <c r="E35" s="12"/>
      <c r="F35" s="12"/>
      <c r="G35" s="13"/>
      <c r="H35" s="13"/>
      <c r="I35" s="12"/>
      <c r="J35" s="12"/>
      <c r="K35" s="13"/>
      <c r="L35" s="13"/>
      <c r="M35" s="12"/>
      <c r="N35" s="13"/>
      <c r="O35" s="13"/>
      <c r="P35" s="13"/>
      <c r="Q35" s="13"/>
      <c r="R35" s="27" t="str">
        <f aca="false">IF(OR(A35="",O35=""),"",IF(Q35="","Not live yet",IF(H35="Higher is better",IF(Q35&gt;=O35,"Green",IF(Q35&gt;=P35,"Amber","Red")),IF(Q35&lt;=O35,"Green",IF(Q35&lt;=P35,"Amber","Red")))))</f>
        <v/>
      </c>
      <c r="S35" s="28" t="str">
        <f aca="false">IF(OR(A35="",Q35="",N35="",O35="",O35=N35),"",MAX(0,MIN(1,(Q35-N35)/(O35-N35))))</f>
        <v/>
      </c>
      <c r="T35" s="14"/>
      <c r="U35" s="13"/>
      <c r="V35" s="13"/>
      <c r="W35" s="13"/>
      <c r="X35" s="27" t="str">
        <f aca="false">IF(A35="","",IF(OR(U35="Pending decision",W35="Blocked"),"At risk",IF(U35="Proposed","Needs approval",IF(AND(U35="Approved",OR(V35="Yes",V35="Not applicable"),W35="Yes"),"Ready","In progress"))))</f>
        <v/>
      </c>
      <c r="Y35" s="14"/>
      <c r="Z35" s="13"/>
      <c r="AA35" s="12"/>
      <c r="AB35" s="12"/>
      <c r="AC35" s="12"/>
      <c r="AD35" s="29" t="str">
        <f aca="false">IF(X35="At risk",ROW(),"")</f>
        <v/>
      </c>
    </row>
    <row r="36" customFormat="false" ht="19.5" hidden="false" customHeight="true" outlineLevel="0" collapsed="false">
      <c r="A36" s="13"/>
      <c r="B36" s="13"/>
      <c r="C36" s="12"/>
      <c r="D36" s="12"/>
      <c r="E36" s="12"/>
      <c r="F36" s="12"/>
      <c r="G36" s="13"/>
      <c r="H36" s="13"/>
      <c r="I36" s="12"/>
      <c r="J36" s="12"/>
      <c r="K36" s="13"/>
      <c r="L36" s="13"/>
      <c r="M36" s="12"/>
      <c r="N36" s="13"/>
      <c r="O36" s="13"/>
      <c r="P36" s="13"/>
      <c r="Q36" s="13"/>
      <c r="R36" s="27" t="str">
        <f aca="false">IF(OR(A36="",O36=""),"",IF(Q36="","Not live yet",IF(H36="Higher is better",IF(Q36&gt;=O36,"Green",IF(Q36&gt;=P36,"Amber","Red")),IF(Q36&lt;=O36,"Green",IF(Q36&lt;=P36,"Amber","Red")))))</f>
        <v/>
      </c>
      <c r="S36" s="28" t="str">
        <f aca="false">IF(OR(A36="",Q36="",N36="",O36="",O36=N36),"",MAX(0,MIN(1,(Q36-N36)/(O36-N36))))</f>
        <v/>
      </c>
      <c r="T36" s="14"/>
      <c r="U36" s="13"/>
      <c r="V36" s="13"/>
      <c r="W36" s="13"/>
      <c r="X36" s="27" t="str">
        <f aca="false">IF(A36="","",IF(OR(U36="Pending decision",W36="Blocked"),"At risk",IF(U36="Proposed","Needs approval",IF(AND(U36="Approved",OR(V36="Yes",V36="Not applicable"),W36="Yes"),"Ready","In progress"))))</f>
        <v/>
      </c>
      <c r="Y36" s="14"/>
      <c r="Z36" s="13"/>
      <c r="AA36" s="12"/>
      <c r="AB36" s="12"/>
      <c r="AC36" s="12"/>
      <c r="AD36" s="29" t="str">
        <f aca="false">IF(X36="At risk",ROW(),"")</f>
        <v/>
      </c>
    </row>
    <row r="37" customFormat="false" ht="19.5" hidden="false" customHeight="true" outlineLevel="0" collapsed="false">
      <c r="A37" s="13"/>
      <c r="B37" s="13"/>
      <c r="C37" s="12"/>
      <c r="D37" s="12"/>
      <c r="E37" s="12"/>
      <c r="F37" s="12"/>
      <c r="G37" s="13"/>
      <c r="H37" s="13"/>
      <c r="I37" s="12"/>
      <c r="J37" s="12"/>
      <c r="K37" s="13"/>
      <c r="L37" s="13"/>
      <c r="M37" s="12"/>
      <c r="N37" s="13"/>
      <c r="O37" s="13"/>
      <c r="P37" s="13"/>
      <c r="Q37" s="13"/>
      <c r="R37" s="27" t="str">
        <f aca="false">IF(OR(A37="",O37=""),"",IF(Q37="","Not live yet",IF(H37="Higher is better",IF(Q37&gt;=O37,"Green",IF(Q37&gt;=P37,"Amber","Red")),IF(Q37&lt;=O37,"Green",IF(Q37&lt;=P37,"Amber","Red")))))</f>
        <v/>
      </c>
      <c r="S37" s="28" t="str">
        <f aca="false">IF(OR(A37="",Q37="",N37="",O37="",O37=N37),"",MAX(0,MIN(1,(Q37-N37)/(O37-N37))))</f>
        <v/>
      </c>
      <c r="T37" s="14"/>
      <c r="U37" s="13"/>
      <c r="V37" s="13"/>
      <c r="W37" s="13"/>
      <c r="X37" s="27" t="str">
        <f aca="false">IF(A37="","",IF(OR(U37="Pending decision",W37="Blocked"),"At risk",IF(U37="Proposed","Needs approval",IF(AND(U37="Approved",OR(V37="Yes",V37="Not applicable"),W37="Yes"),"Ready","In progress"))))</f>
        <v/>
      </c>
      <c r="Y37" s="14"/>
      <c r="Z37" s="13"/>
      <c r="AA37" s="12"/>
      <c r="AB37" s="12"/>
      <c r="AC37" s="12"/>
      <c r="AD37" s="29" t="str">
        <f aca="false">IF(X37="At risk",ROW(),"")</f>
        <v/>
      </c>
    </row>
    <row r="38" customFormat="false" ht="19.5" hidden="false" customHeight="true" outlineLevel="0" collapsed="false">
      <c r="A38" s="13"/>
      <c r="B38" s="13"/>
      <c r="C38" s="12"/>
      <c r="D38" s="12"/>
      <c r="E38" s="12"/>
      <c r="F38" s="12"/>
      <c r="G38" s="13"/>
      <c r="H38" s="13"/>
      <c r="I38" s="12"/>
      <c r="J38" s="12"/>
      <c r="K38" s="13"/>
      <c r="L38" s="13"/>
      <c r="M38" s="12"/>
      <c r="N38" s="13"/>
      <c r="O38" s="13"/>
      <c r="P38" s="13"/>
      <c r="Q38" s="13"/>
      <c r="R38" s="27" t="str">
        <f aca="false">IF(OR(A38="",O38=""),"",IF(Q38="","Not live yet",IF(H38="Higher is better",IF(Q38&gt;=O38,"Green",IF(Q38&gt;=P38,"Amber","Red")),IF(Q38&lt;=O38,"Green",IF(Q38&lt;=P38,"Amber","Red")))))</f>
        <v/>
      </c>
      <c r="S38" s="28" t="str">
        <f aca="false">IF(OR(A38="",Q38="",N38="",O38="",O38=N38),"",MAX(0,MIN(1,(Q38-N38)/(O38-N38))))</f>
        <v/>
      </c>
      <c r="T38" s="14"/>
      <c r="U38" s="13"/>
      <c r="V38" s="13"/>
      <c r="W38" s="13"/>
      <c r="X38" s="27" t="str">
        <f aca="false">IF(A38="","",IF(OR(U38="Pending decision",W38="Blocked"),"At risk",IF(U38="Proposed","Needs approval",IF(AND(U38="Approved",OR(V38="Yes",V38="Not applicable"),W38="Yes"),"Ready","In progress"))))</f>
        <v/>
      </c>
      <c r="Y38" s="14"/>
      <c r="Z38" s="13"/>
      <c r="AA38" s="12"/>
      <c r="AB38" s="12"/>
      <c r="AC38" s="12"/>
      <c r="AD38" s="29" t="str">
        <f aca="false">IF(X38="At risk",ROW(),"")</f>
        <v/>
      </c>
    </row>
    <row r="39" customFormat="false" ht="19.5" hidden="false" customHeight="true" outlineLevel="0" collapsed="false">
      <c r="A39" s="13"/>
      <c r="B39" s="13"/>
      <c r="C39" s="12"/>
      <c r="D39" s="12"/>
      <c r="E39" s="12"/>
      <c r="F39" s="12"/>
      <c r="G39" s="13"/>
      <c r="H39" s="13"/>
      <c r="I39" s="12"/>
      <c r="J39" s="12"/>
      <c r="K39" s="13"/>
      <c r="L39" s="13"/>
      <c r="M39" s="12"/>
      <c r="N39" s="13"/>
      <c r="O39" s="13"/>
      <c r="P39" s="13"/>
      <c r="Q39" s="13"/>
      <c r="R39" s="27" t="str">
        <f aca="false">IF(OR(A39="",O39=""),"",IF(Q39="","Not live yet",IF(H39="Higher is better",IF(Q39&gt;=O39,"Green",IF(Q39&gt;=P39,"Amber","Red")),IF(Q39&lt;=O39,"Green",IF(Q39&lt;=P39,"Amber","Red")))))</f>
        <v/>
      </c>
      <c r="S39" s="28" t="str">
        <f aca="false">IF(OR(A39="",Q39="",N39="",O39="",O39=N39),"",MAX(0,MIN(1,(Q39-N39)/(O39-N39))))</f>
        <v/>
      </c>
      <c r="T39" s="14"/>
      <c r="U39" s="13"/>
      <c r="V39" s="13"/>
      <c r="W39" s="13"/>
      <c r="X39" s="27" t="str">
        <f aca="false">IF(A39="","",IF(OR(U39="Pending decision",W39="Blocked"),"At risk",IF(U39="Proposed","Needs approval",IF(AND(U39="Approved",OR(V39="Yes",V39="Not applicable"),W39="Yes"),"Ready","In progress"))))</f>
        <v/>
      </c>
      <c r="Y39" s="14"/>
      <c r="Z39" s="13"/>
      <c r="AA39" s="12"/>
      <c r="AB39" s="12"/>
      <c r="AC39" s="12"/>
      <c r="AD39" s="29" t="str">
        <f aca="false">IF(X39="At risk",ROW(),"")</f>
        <v/>
      </c>
    </row>
    <row r="40" customFormat="false" ht="19.5" hidden="false" customHeight="true" outlineLevel="0" collapsed="false">
      <c r="A40" s="13"/>
      <c r="B40" s="13"/>
      <c r="C40" s="12"/>
      <c r="D40" s="12"/>
      <c r="E40" s="12"/>
      <c r="F40" s="12"/>
      <c r="G40" s="13"/>
      <c r="H40" s="13"/>
      <c r="I40" s="12"/>
      <c r="J40" s="12"/>
      <c r="K40" s="13"/>
      <c r="L40" s="13"/>
      <c r="M40" s="12"/>
      <c r="N40" s="13"/>
      <c r="O40" s="13"/>
      <c r="P40" s="13"/>
      <c r="Q40" s="13"/>
      <c r="R40" s="27" t="str">
        <f aca="false">IF(OR(A40="",O40=""),"",IF(Q40="","Not live yet",IF(H40="Higher is better",IF(Q40&gt;=O40,"Green",IF(Q40&gt;=P40,"Amber","Red")),IF(Q40&lt;=O40,"Green",IF(Q40&lt;=P40,"Amber","Red")))))</f>
        <v/>
      </c>
      <c r="S40" s="28" t="str">
        <f aca="false">IF(OR(A40="",Q40="",N40="",O40="",O40=N40),"",MAX(0,MIN(1,(Q40-N40)/(O40-N40))))</f>
        <v/>
      </c>
      <c r="T40" s="14"/>
      <c r="U40" s="13"/>
      <c r="V40" s="13"/>
      <c r="W40" s="13"/>
      <c r="X40" s="27" t="str">
        <f aca="false">IF(A40="","",IF(OR(U40="Pending decision",W40="Blocked"),"At risk",IF(U40="Proposed","Needs approval",IF(AND(U40="Approved",OR(V40="Yes",V40="Not applicable"),W40="Yes"),"Ready","In progress"))))</f>
        <v/>
      </c>
      <c r="Y40" s="14"/>
      <c r="Z40" s="13"/>
      <c r="AA40" s="12"/>
      <c r="AB40" s="12"/>
      <c r="AC40" s="12"/>
      <c r="AD40" s="29" t="str">
        <f aca="false">IF(X40="At risk",ROW(),"")</f>
        <v/>
      </c>
    </row>
    <row r="41" customFormat="false" ht="19.5" hidden="false" customHeight="true" outlineLevel="0" collapsed="false">
      <c r="A41" s="13"/>
      <c r="B41" s="13"/>
      <c r="C41" s="12"/>
      <c r="D41" s="12"/>
      <c r="E41" s="12"/>
      <c r="F41" s="12"/>
      <c r="G41" s="13"/>
      <c r="H41" s="13"/>
      <c r="I41" s="12"/>
      <c r="J41" s="12"/>
      <c r="K41" s="13"/>
      <c r="L41" s="13"/>
      <c r="M41" s="12"/>
      <c r="N41" s="13"/>
      <c r="O41" s="13"/>
      <c r="P41" s="13"/>
      <c r="Q41" s="13"/>
      <c r="R41" s="27" t="str">
        <f aca="false">IF(OR(A41="",O41=""),"",IF(Q41="","Not live yet",IF(H41="Higher is better",IF(Q41&gt;=O41,"Green",IF(Q41&gt;=P41,"Amber","Red")),IF(Q41&lt;=O41,"Green",IF(Q41&lt;=P41,"Amber","Red")))))</f>
        <v/>
      </c>
      <c r="S41" s="28" t="str">
        <f aca="false">IF(OR(A41="",Q41="",N41="",O41="",O41=N41),"",MAX(0,MIN(1,(Q41-N41)/(O41-N41))))</f>
        <v/>
      </c>
      <c r="T41" s="14"/>
      <c r="U41" s="13"/>
      <c r="V41" s="13"/>
      <c r="W41" s="13"/>
      <c r="X41" s="27" t="str">
        <f aca="false">IF(A41="","",IF(OR(U41="Pending decision",W41="Blocked"),"At risk",IF(U41="Proposed","Needs approval",IF(AND(U41="Approved",OR(V41="Yes",V41="Not applicable"),W41="Yes"),"Ready","In progress"))))</f>
        <v/>
      </c>
      <c r="Y41" s="14"/>
      <c r="Z41" s="13"/>
      <c r="AA41" s="12"/>
      <c r="AB41" s="12"/>
      <c r="AC41" s="12"/>
      <c r="AD41" s="29" t="str">
        <f aca="false">IF(X41="At risk",ROW(),"")</f>
        <v/>
      </c>
    </row>
    <row r="42" customFormat="false" ht="19.5" hidden="false" customHeight="true" outlineLevel="0" collapsed="false">
      <c r="A42" s="13"/>
      <c r="B42" s="13"/>
      <c r="C42" s="12"/>
      <c r="D42" s="12"/>
      <c r="E42" s="12"/>
      <c r="F42" s="12"/>
      <c r="G42" s="13"/>
      <c r="H42" s="13"/>
      <c r="I42" s="12"/>
      <c r="J42" s="12"/>
      <c r="K42" s="13"/>
      <c r="L42" s="13"/>
      <c r="M42" s="12"/>
      <c r="N42" s="13"/>
      <c r="O42" s="13"/>
      <c r="P42" s="13"/>
      <c r="Q42" s="13"/>
      <c r="R42" s="27" t="str">
        <f aca="false">IF(OR(A42="",O42=""),"",IF(Q42="","Not live yet",IF(H42="Higher is better",IF(Q42&gt;=O42,"Green",IF(Q42&gt;=P42,"Amber","Red")),IF(Q42&lt;=O42,"Green",IF(Q42&lt;=P42,"Amber","Red")))))</f>
        <v/>
      </c>
      <c r="S42" s="28" t="str">
        <f aca="false">IF(OR(A42="",Q42="",N42="",O42="",O42=N42),"",MAX(0,MIN(1,(Q42-N42)/(O42-N42))))</f>
        <v/>
      </c>
      <c r="T42" s="14"/>
      <c r="U42" s="13"/>
      <c r="V42" s="13"/>
      <c r="W42" s="13"/>
      <c r="X42" s="27" t="str">
        <f aca="false">IF(A42="","",IF(OR(U42="Pending decision",W42="Blocked"),"At risk",IF(U42="Proposed","Needs approval",IF(AND(U42="Approved",OR(V42="Yes",V42="Not applicable"),W42="Yes"),"Ready","In progress"))))</f>
        <v/>
      </c>
      <c r="Y42" s="14"/>
      <c r="Z42" s="13"/>
      <c r="AA42" s="12"/>
      <c r="AB42" s="12"/>
      <c r="AC42" s="12"/>
      <c r="AD42" s="29" t="str">
        <f aca="false">IF(X42="At risk",ROW(),"")</f>
        <v/>
      </c>
    </row>
    <row r="43" customFormat="false" ht="19.5" hidden="false" customHeight="true" outlineLevel="0" collapsed="false">
      <c r="A43" s="13"/>
      <c r="B43" s="13"/>
      <c r="C43" s="12"/>
      <c r="D43" s="12"/>
      <c r="E43" s="12"/>
      <c r="F43" s="12"/>
      <c r="G43" s="13"/>
      <c r="H43" s="13"/>
      <c r="I43" s="12"/>
      <c r="J43" s="12"/>
      <c r="K43" s="13"/>
      <c r="L43" s="13"/>
      <c r="M43" s="12"/>
      <c r="N43" s="13"/>
      <c r="O43" s="13"/>
      <c r="P43" s="13"/>
      <c r="Q43" s="13"/>
      <c r="R43" s="27" t="str">
        <f aca="false">IF(OR(A43="",O43=""),"",IF(Q43="","Not live yet",IF(H43="Higher is better",IF(Q43&gt;=O43,"Green",IF(Q43&gt;=P43,"Amber","Red")),IF(Q43&lt;=O43,"Green",IF(Q43&lt;=P43,"Amber","Red")))))</f>
        <v/>
      </c>
      <c r="S43" s="28" t="str">
        <f aca="false">IF(OR(A43="",Q43="",N43="",O43="",O43=N43),"",MAX(0,MIN(1,(Q43-N43)/(O43-N43))))</f>
        <v/>
      </c>
      <c r="T43" s="14"/>
      <c r="U43" s="13"/>
      <c r="V43" s="13"/>
      <c r="W43" s="13"/>
      <c r="X43" s="27" t="str">
        <f aca="false">IF(A43="","",IF(OR(U43="Pending decision",W43="Blocked"),"At risk",IF(U43="Proposed","Needs approval",IF(AND(U43="Approved",OR(V43="Yes",V43="Not applicable"),W43="Yes"),"Ready","In progress"))))</f>
        <v/>
      </c>
      <c r="Y43" s="14"/>
      <c r="Z43" s="13"/>
      <c r="AA43" s="12"/>
      <c r="AB43" s="12"/>
      <c r="AC43" s="12"/>
      <c r="AD43" s="29" t="str">
        <f aca="false">IF(X43="At risk",ROW(),"")</f>
        <v/>
      </c>
    </row>
    <row r="44" customFormat="false" ht="19.5" hidden="false" customHeight="true" outlineLevel="0" collapsed="false">
      <c r="A44" s="13"/>
      <c r="B44" s="13"/>
      <c r="C44" s="12"/>
      <c r="D44" s="12"/>
      <c r="E44" s="12"/>
      <c r="F44" s="12"/>
      <c r="G44" s="13"/>
      <c r="H44" s="13"/>
      <c r="I44" s="12"/>
      <c r="J44" s="12"/>
      <c r="K44" s="13"/>
      <c r="L44" s="13"/>
      <c r="M44" s="12"/>
      <c r="N44" s="13"/>
      <c r="O44" s="13"/>
      <c r="P44" s="13"/>
      <c r="Q44" s="13"/>
      <c r="R44" s="27" t="str">
        <f aca="false">IF(OR(A44="",O44=""),"",IF(Q44="","Not live yet",IF(H44="Higher is better",IF(Q44&gt;=O44,"Green",IF(Q44&gt;=P44,"Amber","Red")),IF(Q44&lt;=O44,"Green",IF(Q44&lt;=P44,"Amber","Red")))))</f>
        <v/>
      </c>
      <c r="S44" s="28" t="str">
        <f aca="false">IF(OR(A44="",Q44="",N44="",O44="",O44=N44),"",MAX(0,MIN(1,(Q44-N44)/(O44-N44))))</f>
        <v/>
      </c>
      <c r="T44" s="14"/>
      <c r="U44" s="13"/>
      <c r="V44" s="13"/>
      <c r="W44" s="13"/>
      <c r="X44" s="27" t="str">
        <f aca="false">IF(A44="","",IF(OR(U44="Pending decision",W44="Blocked"),"At risk",IF(U44="Proposed","Needs approval",IF(AND(U44="Approved",OR(V44="Yes",V44="Not applicable"),W44="Yes"),"Ready","In progress"))))</f>
        <v/>
      </c>
      <c r="Y44" s="14"/>
      <c r="Z44" s="13"/>
      <c r="AA44" s="12"/>
      <c r="AB44" s="12"/>
      <c r="AC44" s="12"/>
      <c r="AD44" s="29" t="str">
        <f aca="false">IF(X44="At risk",ROW(),"")</f>
        <v/>
      </c>
    </row>
    <row r="45" customFormat="false" ht="19.5" hidden="false" customHeight="true" outlineLevel="0" collapsed="false">
      <c r="A45" s="13"/>
      <c r="B45" s="13"/>
      <c r="C45" s="12"/>
      <c r="D45" s="12"/>
      <c r="E45" s="12"/>
      <c r="F45" s="12"/>
      <c r="G45" s="13"/>
      <c r="H45" s="13"/>
      <c r="I45" s="12"/>
      <c r="J45" s="12"/>
      <c r="K45" s="13"/>
      <c r="L45" s="13"/>
      <c r="M45" s="12"/>
      <c r="N45" s="13"/>
      <c r="O45" s="13"/>
      <c r="P45" s="13"/>
      <c r="Q45" s="13"/>
      <c r="R45" s="27" t="str">
        <f aca="false">IF(OR(A45="",O45=""),"",IF(Q45="","Not live yet",IF(H45="Higher is better",IF(Q45&gt;=O45,"Green",IF(Q45&gt;=P45,"Amber","Red")),IF(Q45&lt;=O45,"Green",IF(Q45&lt;=P45,"Amber","Red")))))</f>
        <v/>
      </c>
      <c r="S45" s="28" t="str">
        <f aca="false">IF(OR(A45="",Q45="",N45="",O45="",O45=N45),"",MAX(0,MIN(1,(Q45-N45)/(O45-N45))))</f>
        <v/>
      </c>
      <c r="T45" s="14"/>
      <c r="U45" s="13"/>
      <c r="V45" s="13"/>
      <c r="W45" s="13"/>
      <c r="X45" s="27" t="str">
        <f aca="false">IF(A45="","",IF(OR(U45="Pending decision",W45="Blocked"),"At risk",IF(U45="Proposed","Needs approval",IF(AND(U45="Approved",OR(V45="Yes",V45="Not applicable"),W45="Yes"),"Ready","In progress"))))</f>
        <v/>
      </c>
      <c r="Y45" s="14"/>
      <c r="Z45" s="13"/>
      <c r="AA45" s="12"/>
      <c r="AB45" s="12"/>
      <c r="AC45" s="12"/>
      <c r="AD45" s="29" t="str">
        <f aca="false">IF(X45="At risk",ROW(),"")</f>
        <v/>
      </c>
    </row>
    <row r="46" customFormat="false" ht="19.5" hidden="false" customHeight="true" outlineLevel="0" collapsed="false">
      <c r="A46" s="13"/>
      <c r="B46" s="13"/>
      <c r="C46" s="12"/>
      <c r="D46" s="12"/>
      <c r="E46" s="12"/>
      <c r="F46" s="12"/>
      <c r="G46" s="13"/>
      <c r="H46" s="13"/>
      <c r="I46" s="12"/>
      <c r="J46" s="12"/>
      <c r="K46" s="13"/>
      <c r="L46" s="13"/>
      <c r="M46" s="12"/>
      <c r="N46" s="13"/>
      <c r="O46" s="13"/>
      <c r="P46" s="13"/>
      <c r="Q46" s="13"/>
      <c r="R46" s="27" t="str">
        <f aca="false">IF(OR(A46="",O46=""),"",IF(Q46="","Not live yet",IF(H46="Higher is better",IF(Q46&gt;=O46,"Green",IF(Q46&gt;=P46,"Amber","Red")),IF(Q46&lt;=O46,"Green",IF(Q46&lt;=P46,"Amber","Red")))))</f>
        <v/>
      </c>
      <c r="S46" s="28" t="str">
        <f aca="false">IF(OR(A46="",Q46="",N46="",O46="",O46=N46),"",MAX(0,MIN(1,(Q46-N46)/(O46-N46))))</f>
        <v/>
      </c>
      <c r="T46" s="14"/>
      <c r="U46" s="13"/>
      <c r="V46" s="13"/>
      <c r="W46" s="13"/>
      <c r="X46" s="27" t="str">
        <f aca="false">IF(A46="","",IF(OR(U46="Pending decision",W46="Blocked"),"At risk",IF(U46="Proposed","Needs approval",IF(AND(U46="Approved",OR(V46="Yes",V46="Not applicable"),W46="Yes"),"Ready","In progress"))))</f>
        <v/>
      </c>
      <c r="Y46" s="14"/>
      <c r="Z46" s="13"/>
      <c r="AA46" s="12"/>
      <c r="AB46" s="12"/>
      <c r="AC46" s="12"/>
      <c r="AD46" s="29" t="str">
        <f aca="false">IF(X46="At risk",ROW(),"")</f>
        <v/>
      </c>
    </row>
    <row r="47" customFormat="false" ht="19.5" hidden="false" customHeight="true" outlineLevel="0" collapsed="false">
      <c r="A47" s="13"/>
      <c r="B47" s="13"/>
      <c r="C47" s="12"/>
      <c r="D47" s="12"/>
      <c r="E47" s="12"/>
      <c r="F47" s="12"/>
      <c r="G47" s="13"/>
      <c r="H47" s="13"/>
      <c r="I47" s="12"/>
      <c r="J47" s="12"/>
      <c r="K47" s="13"/>
      <c r="L47" s="13"/>
      <c r="M47" s="12"/>
      <c r="N47" s="13"/>
      <c r="O47" s="13"/>
      <c r="P47" s="13"/>
      <c r="Q47" s="13"/>
      <c r="R47" s="27" t="str">
        <f aca="false">IF(OR(A47="",O47=""),"",IF(Q47="","Not live yet",IF(H47="Higher is better",IF(Q47&gt;=O47,"Green",IF(Q47&gt;=P47,"Amber","Red")),IF(Q47&lt;=O47,"Green",IF(Q47&lt;=P47,"Amber","Red")))))</f>
        <v/>
      </c>
      <c r="S47" s="28" t="str">
        <f aca="false">IF(OR(A47="",Q47="",N47="",O47="",O47=N47),"",MAX(0,MIN(1,(Q47-N47)/(O47-N47))))</f>
        <v/>
      </c>
      <c r="T47" s="14"/>
      <c r="U47" s="13"/>
      <c r="V47" s="13"/>
      <c r="W47" s="13"/>
      <c r="X47" s="27" t="str">
        <f aca="false">IF(A47="","",IF(OR(U47="Pending decision",W47="Blocked"),"At risk",IF(U47="Proposed","Needs approval",IF(AND(U47="Approved",OR(V47="Yes",V47="Not applicable"),W47="Yes"),"Ready","In progress"))))</f>
        <v/>
      </c>
      <c r="Y47" s="14"/>
      <c r="Z47" s="13"/>
      <c r="AA47" s="12"/>
      <c r="AB47" s="12"/>
      <c r="AC47" s="12"/>
      <c r="AD47" s="29" t="str">
        <f aca="false">IF(X47="At risk",ROW(),"")</f>
        <v/>
      </c>
    </row>
    <row r="48" customFormat="false" ht="19.5" hidden="false" customHeight="true" outlineLevel="0" collapsed="false">
      <c r="A48" s="13"/>
      <c r="B48" s="13"/>
      <c r="C48" s="12"/>
      <c r="D48" s="12"/>
      <c r="E48" s="12"/>
      <c r="F48" s="12"/>
      <c r="G48" s="13"/>
      <c r="H48" s="13"/>
      <c r="I48" s="12"/>
      <c r="J48" s="12"/>
      <c r="K48" s="13"/>
      <c r="L48" s="13"/>
      <c r="M48" s="12"/>
      <c r="N48" s="13"/>
      <c r="O48" s="13"/>
      <c r="P48" s="13"/>
      <c r="Q48" s="13"/>
      <c r="R48" s="27" t="str">
        <f aca="false">IF(OR(A48="",O48=""),"",IF(Q48="","Not live yet",IF(H48="Higher is better",IF(Q48&gt;=O48,"Green",IF(Q48&gt;=P48,"Amber","Red")),IF(Q48&lt;=O48,"Green",IF(Q48&lt;=P48,"Amber","Red")))))</f>
        <v/>
      </c>
      <c r="S48" s="28" t="str">
        <f aca="false">IF(OR(A48="",Q48="",N48="",O48="",O48=N48),"",MAX(0,MIN(1,(Q48-N48)/(O48-N48))))</f>
        <v/>
      </c>
      <c r="T48" s="14"/>
      <c r="U48" s="13"/>
      <c r="V48" s="13"/>
      <c r="W48" s="13"/>
      <c r="X48" s="27" t="str">
        <f aca="false">IF(A48="","",IF(OR(U48="Pending decision",W48="Blocked"),"At risk",IF(U48="Proposed","Needs approval",IF(AND(U48="Approved",OR(V48="Yes",V48="Not applicable"),W48="Yes"),"Ready","In progress"))))</f>
        <v/>
      </c>
      <c r="Y48" s="14"/>
      <c r="Z48" s="13"/>
      <c r="AA48" s="12"/>
      <c r="AB48" s="12"/>
      <c r="AC48" s="12"/>
      <c r="AD48" s="29" t="str">
        <f aca="false">IF(X48="At risk",ROW(),"")</f>
        <v/>
      </c>
    </row>
    <row r="49" customFormat="false" ht="19.5" hidden="false" customHeight="true" outlineLevel="0" collapsed="false">
      <c r="A49" s="13"/>
      <c r="B49" s="13"/>
      <c r="C49" s="12"/>
      <c r="D49" s="12"/>
      <c r="E49" s="12"/>
      <c r="F49" s="12"/>
      <c r="G49" s="13"/>
      <c r="H49" s="13"/>
      <c r="I49" s="12"/>
      <c r="J49" s="12"/>
      <c r="K49" s="13"/>
      <c r="L49" s="13"/>
      <c r="M49" s="12"/>
      <c r="N49" s="13"/>
      <c r="O49" s="13"/>
      <c r="P49" s="13"/>
      <c r="Q49" s="13"/>
      <c r="R49" s="27" t="str">
        <f aca="false">IF(OR(A49="",O49=""),"",IF(Q49="","Not live yet",IF(H49="Higher is better",IF(Q49&gt;=O49,"Green",IF(Q49&gt;=P49,"Amber","Red")),IF(Q49&lt;=O49,"Green",IF(Q49&lt;=P49,"Amber","Red")))))</f>
        <v/>
      </c>
      <c r="S49" s="28" t="str">
        <f aca="false">IF(OR(A49="",Q49="",N49="",O49="",O49=N49),"",MAX(0,MIN(1,(Q49-N49)/(O49-N49))))</f>
        <v/>
      </c>
      <c r="T49" s="14"/>
      <c r="U49" s="13"/>
      <c r="V49" s="13"/>
      <c r="W49" s="13"/>
      <c r="X49" s="27" t="str">
        <f aca="false">IF(A49="","",IF(OR(U49="Pending decision",W49="Blocked"),"At risk",IF(U49="Proposed","Needs approval",IF(AND(U49="Approved",OR(V49="Yes",V49="Not applicable"),W49="Yes"),"Ready","In progress"))))</f>
        <v/>
      </c>
      <c r="Y49" s="14"/>
      <c r="Z49" s="13"/>
      <c r="AA49" s="12"/>
      <c r="AB49" s="12"/>
      <c r="AC49" s="12"/>
      <c r="AD49" s="29" t="str">
        <f aca="false">IF(X49="At risk",ROW(),"")</f>
        <v/>
      </c>
    </row>
    <row r="50" customFormat="false" ht="19.5" hidden="false" customHeight="true" outlineLevel="0" collapsed="false">
      <c r="A50" s="13"/>
      <c r="B50" s="13"/>
      <c r="C50" s="12"/>
      <c r="D50" s="12"/>
      <c r="E50" s="12"/>
      <c r="F50" s="12"/>
      <c r="G50" s="13"/>
      <c r="H50" s="13"/>
      <c r="I50" s="12"/>
      <c r="J50" s="12"/>
      <c r="K50" s="13"/>
      <c r="L50" s="13"/>
      <c r="M50" s="12"/>
      <c r="N50" s="13"/>
      <c r="O50" s="13"/>
      <c r="P50" s="13"/>
      <c r="Q50" s="13"/>
      <c r="R50" s="27" t="str">
        <f aca="false">IF(OR(A50="",O50=""),"",IF(Q50="","Not live yet",IF(H50="Higher is better",IF(Q50&gt;=O50,"Green",IF(Q50&gt;=P50,"Amber","Red")),IF(Q50&lt;=O50,"Green",IF(Q50&lt;=P50,"Amber","Red")))))</f>
        <v/>
      </c>
      <c r="S50" s="28" t="str">
        <f aca="false">IF(OR(A50="",Q50="",N50="",O50="",O50=N50),"",MAX(0,MIN(1,(Q50-N50)/(O50-N50))))</f>
        <v/>
      </c>
      <c r="T50" s="14"/>
      <c r="U50" s="13"/>
      <c r="V50" s="13"/>
      <c r="W50" s="13"/>
      <c r="X50" s="27" t="str">
        <f aca="false">IF(A50="","",IF(OR(U50="Pending decision",W50="Blocked"),"At risk",IF(U50="Proposed","Needs approval",IF(AND(U50="Approved",OR(V50="Yes",V50="Not applicable"),W50="Yes"),"Ready","In progress"))))</f>
        <v/>
      </c>
      <c r="Y50" s="14"/>
      <c r="Z50" s="13"/>
      <c r="AA50" s="12"/>
      <c r="AB50" s="12"/>
      <c r="AC50" s="12"/>
      <c r="AD50" s="29" t="str">
        <f aca="false">IF(X50="At risk",ROW(),"")</f>
        <v/>
      </c>
    </row>
    <row r="51" customFormat="false" ht="19.5" hidden="false" customHeight="true" outlineLevel="0" collapsed="false">
      <c r="A51" s="13"/>
      <c r="B51" s="13"/>
      <c r="C51" s="12"/>
      <c r="D51" s="12"/>
      <c r="E51" s="12"/>
      <c r="F51" s="12"/>
      <c r="G51" s="13"/>
      <c r="H51" s="13"/>
      <c r="I51" s="12"/>
      <c r="J51" s="12"/>
      <c r="K51" s="13"/>
      <c r="L51" s="13"/>
      <c r="M51" s="12"/>
      <c r="N51" s="13"/>
      <c r="O51" s="13"/>
      <c r="P51" s="13"/>
      <c r="Q51" s="13"/>
      <c r="R51" s="27" t="str">
        <f aca="false">IF(OR(A51="",O51=""),"",IF(Q51="","Not live yet",IF(H51="Higher is better",IF(Q51&gt;=O51,"Green",IF(Q51&gt;=P51,"Amber","Red")),IF(Q51&lt;=O51,"Green",IF(Q51&lt;=P51,"Amber","Red")))))</f>
        <v/>
      </c>
      <c r="S51" s="28" t="str">
        <f aca="false">IF(OR(A51="",Q51="",N51="",O51="",O51=N51),"",MAX(0,MIN(1,(Q51-N51)/(O51-N51))))</f>
        <v/>
      </c>
      <c r="T51" s="14"/>
      <c r="U51" s="13"/>
      <c r="V51" s="13"/>
      <c r="W51" s="13"/>
      <c r="X51" s="27" t="str">
        <f aca="false">IF(A51="","",IF(OR(U51="Pending decision",W51="Blocked"),"At risk",IF(U51="Proposed","Needs approval",IF(AND(U51="Approved",OR(V51="Yes",V51="Not applicable"),W51="Yes"),"Ready","In progress"))))</f>
        <v/>
      </c>
      <c r="Y51" s="14"/>
      <c r="Z51" s="13"/>
      <c r="AA51" s="12"/>
      <c r="AB51" s="12"/>
      <c r="AC51" s="12"/>
      <c r="AD51" s="29" t="str">
        <f aca="false">IF(X51="At risk",ROW(),"")</f>
        <v/>
      </c>
    </row>
    <row r="52" customFormat="false" ht="19.5" hidden="false" customHeight="true" outlineLevel="0" collapsed="false">
      <c r="A52" s="13"/>
      <c r="B52" s="13"/>
      <c r="C52" s="12"/>
      <c r="D52" s="12"/>
      <c r="E52" s="12"/>
      <c r="F52" s="12"/>
      <c r="G52" s="13"/>
      <c r="H52" s="13"/>
      <c r="I52" s="12"/>
      <c r="J52" s="12"/>
      <c r="K52" s="13"/>
      <c r="L52" s="13"/>
      <c r="M52" s="12"/>
      <c r="N52" s="13"/>
      <c r="O52" s="13"/>
      <c r="P52" s="13"/>
      <c r="Q52" s="13"/>
      <c r="R52" s="27" t="str">
        <f aca="false">IF(OR(A52="",O52=""),"",IF(Q52="","Not live yet",IF(H52="Higher is better",IF(Q52&gt;=O52,"Green",IF(Q52&gt;=P52,"Amber","Red")),IF(Q52&lt;=O52,"Green",IF(Q52&lt;=P52,"Amber","Red")))))</f>
        <v/>
      </c>
      <c r="S52" s="28" t="str">
        <f aca="false">IF(OR(A52="",Q52="",N52="",O52="",O52=N52),"",MAX(0,MIN(1,(Q52-N52)/(O52-N52))))</f>
        <v/>
      </c>
      <c r="T52" s="14"/>
      <c r="U52" s="13"/>
      <c r="V52" s="13"/>
      <c r="W52" s="13"/>
      <c r="X52" s="27" t="str">
        <f aca="false">IF(A52="","",IF(OR(U52="Pending decision",W52="Blocked"),"At risk",IF(U52="Proposed","Needs approval",IF(AND(U52="Approved",OR(V52="Yes",V52="Not applicable"),W52="Yes"),"Ready","In progress"))))</f>
        <v/>
      </c>
      <c r="Y52" s="14"/>
      <c r="Z52" s="13"/>
      <c r="AA52" s="12"/>
      <c r="AB52" s="12"/>
      <c r="AC52" s="12"/>
      <c r="AD52" s="29" t="str">
        <f aca="false">IF(X52="At risk",ROW(),"")</f>
        <v/>
      </c>
    </row>
    <row r="53" customFormat="false" ht="19.5" hidden="false" customHeight="true" outlineLevel="0" collapsed="false">
      <c r="A53" s="13"/>
      <c r="B53" s="13"/>
      <c r="C53" s="12"/>
      <c r="D53" s="12"/>
      <c r="E53" s="12"/>
      <c r="F53" s="12"/>
      <c r="G53" s="13"/>
      <c r="H53" s="13"/>
      <c r="I53" s="12"/>
      <c r="J53" s="12"/>
      <c r="K53" s="13"/>
      <c r="L53" s="13"/>
      <c r="M53" s="12"/>
      <c r="N53" s="13"/>
      <c r="O53" s="13"/>
      <c r="P53" s="13"/>
      <c r="Q53" s="13"/>
      <c r="R53" s="27" t="str">
        <f aca="false">IF(OR(A53="",O53=""),"",IF(Q53="","Not live yet",IF(H53="Higher is better",IF(Q53&gt;=O53,"Green",IF(Q53&gt;=P53,"Amber","Red")),IF(Q53&lt;=O53,"Green",IF(Q53&lt;=P53,"Amber","Red")))))</f>
        <v/>
      </c>
      <c r="S53" s="28" t="str">
        <f aca="false">IF(OR(A53="",Q53="",N53="",O53="",O53=N53),"",MAX(0,MIN(1,(Q53-N53)/(O53-N53))))</f>
        <v/>
      </c>
      <c r="T53" s="14"/>
      <c r="U53" s="13"/>
      <c r="V53" s="13"/>
      <c r="W53" s="13"/>
      <c r="X53" s="27" t="str">
        <f aca="false">IF(A53="","",IF(OR(U53="Pending decision",W53="Blocked"),"At risk",IF(U53="Proposed","Needs approval",IF(AND(U53="Approved",OR(V53="Yes",V53="Not applicable"),W53="Yes"),"Ready","In progress"))))</f>
        <v/>
      </c>
      <c r="Y53" s="14"/>
      <c r="Z53" s="13"/>
      <c r="AA53" s="12"/>
      <c r="AB53" s="12"/>
      <c r="AC53" s="12"/>
      <c r="AD53" s="29" t="str">
        <f aca="false">IF(X53="At risk",ROW(),"")</f>
        <v/>
      </c>
    </row>
    <row r="54" customFormat="false" ht="19.5" hidden="false" customHeight="true" outlineLevel="0" collapsed="false">
      <c r="A54" s="13"/>
      <c r="B54" s="13"/>
      <c r="C54" s="12"/>
      <c r="D54" s="12"/>
      <c r="E54" s="12"/>
      <c r="F54" s="12"/>
      <c r="G54" s="13"/>
      <c r="H54" s="13"/>
      <c r="I54" s="12"/>
      <c r="J54" s="12"/>
      <c r="K54" s="13"/>
      <c r="L54" s="13"/>
      <c r="M54" s="12"/>
      <c r="N54" s="13"/>
      <c r="O54" s="13"/>
      <c r="P54" s="13"/>
      <c r="Q54" s="13"/>
      <c r="R54" s="27" t="str">
        <f aca="false">IF(OR(A54="",O54=""),"",IF(Q54="","Not live yet",IF(H54="Higher is better",IF(Q54&gt;=O54,"Green",IF(Q54&gt;=P54,"Amber","Red")),IF(Q54&lt;=O54,"Green",IF(Q54&lt;=P54,"Amber","Red")))))</f>
        <v/>
      </c>
      <c r="S54" s="28" t="str">
        <f aca="false">IF(OR(A54="",Q54="",N54="",O54="",O54=N54),"",MAX(0,MIN(1,(Q54-N54)/(O54-N54))))</f>
        <v/>
      </c>
      <c r="T54" s="14"/>
      <c r="U54" s="13"/>
      <c r="V54" s="13"/>
      <c r="W54" s="13"/>
      <c r="X54" s="27" t="str">
        <f aca="false">IF(A54="","",IF(OR(U54="Pending decision",W54="Blocked"),"At risk",IF(U54="Proposed","Needs approval",IF(AND(U54="Approved",OR(V54="Yes",V54="Not applicable"),W54="Yes"),"Ready","In progress"))))</f>
        <v/>
      </c>
      <c r="Y54" s="14"/>
      <c r="Z54" s="13"/>
      <c r="AA54" s="12"/>
      <c r="AB54" s="12"/>
      <c r="AC54" s="12"/>
      <c r="AD54" s="29" t="str">
        <f aca="false">IF(X54="At risk",ROW(),"")</f>
        <v/>
      </c>
    </row>
  </sheetData>
  <autoFilter ref="A4:AC54"/>
  <conditionalFormatting sqref="R5:R54">
    <cfRule type="cellIs" priority="2" operator="equal" aboveAverage="0" equalAverage="0" bottom="0" percent="0" rank="0" text="" dxfId="0">
      <formula>"Green"</formula>
    </cfRule>
    <cfRule type="cellIs" priority="3" operator="equal" aboveAverage="0" equalAverage="0" bottom="0" percent="0" rank="0" text="" dxfId="1">
      <formula>"Amber"</formula>
    </cfRule>
    <cfRule type="cellIs" priority="4" operator="equal" aboveAverage="0" equalAverage="0" bottom="0" percent="0" rank="0" text="" dxfId="2">
      <formula>"Red"</formula>
    </cfRule>
    <cfRule type="cellIs" priority="5" operator="equal" aboveAverage="0" equalAverage="0" bottom="0" percent="0" rank="0" text="" dxfId="3">
      <formula>"Not live yet"</formula>
    </cfRule>
  </conditionalFormatting>
  <conditionalFormatting sqref="X5:X54">
    <cfRule type="cellIs" priority="6" operator="equal" aboveAverage="0" equalAverage="0" bottom="0" percent="0" rank="0" text="" dxfId="0">
      <formula>"Ready"</formula>
    </cfRule>
    <cfRule type="cellIs" priority="7" operator="equal" aboveAverage="0" equalAverage="0" bottom="0" percent="0" rank="0" text="" dxfId="4">
      <formula>"In progress"</formula>
    </cfRule>
    <cfRule type="cellIs" priority="8" operator="equal" aboveAverage="0" equalAverage="0" bottom="0" percent="0" rank="0" text="" dxfId="1">
      <formula>"Needs approval"</formula>
    </cfRule>
    <cfRule type="cellIs" priority="9" operator="equal" aboveAverage="0" equalAverage="0" bottom="0" percent="0" rank="0" text="" dxfId="2">
      <formula>"At risk"</formula>
    </cfRule>
  </conditionalFormatting>
  <conditionalFormatting sqref="U5:U54">
    <cfRule type="cellIs" priority="10" operator="equal" aboveAverage="0" equalAverage="0" bottom="0" percent="0" rank="0" text="" dxfId="0">
      <formula>"Approved"</formula>
    </cfRule>
    <cfRule type="cellIs" priority="11" operator="equal" aboveAverage="0" equalAverage="0" bottom="0" percent="0" rank="0" text="" dxfId="1">
      <formula>"Proposed"</formula>
    </cfRule>
    <cfRule type="cellIs" priority="12" operator="equal" aboveAverage="0" equalAverage="0" bottom="0" percent="0" rank="0" text="" dxfId="2">
      <formula>"Pending decision"</formula>
    </cfRule>
    <cfRule type="cellIs" priority="13" operator="equal" aboveAverage="0" equalAverage="0" bottom="0" percent="0" rank="0" text="" dxfId="3">
      <formula>"Retired"</formula>
    </cfRule>
  </conditionalFormatting>
  <conditionalFormatting sqref="W5:W54">
    <cfRule type="cellIs" priority="14" operator="equal" aboveAverage="0" equalAverage="0" bottom="0" percent="0" rank="0" text="" dxfId="2">
      <formula>"Blocked"</formula>
    </cfRule>
  </conditionalFormatting>
  <dataValidations count="8">
    <dataValidation allowBlank="true" errorStyle="stop" operator="between" showDropDown="false" showErrorMessage="false" showInputMessage="false" sqref="B5:B54" type="list">
      <formula1>"North Star,Outcome,Leading,Guardrail"</formula1>
      <formula2>0</formula2>
    </dataValidation>
    <dataValidation allowBlank="true" errorStyle="stop" operator="between" showDropDown="false" showErrorMessage="false" showInputMessage="false" sqref="G5:G54" type="list">
      <formula1>"%,minutes,seconds,count,score"</formula1>
      <formula2>0</formula2>
    </dataValidation>
    <dataValidation allowBlank="true" errorStyle="stop" operator="between" showDropDown="false" showErrorMessage="false" showInputMessage="false" sqref="H5:H54" type="list">
      <formula1>"Higher is better,Lower is better"</formula1>
      <formula2>0</formula2>
    </dataValidation>
    <dataValidation allowBlank="true" errorStyle="stop" operator="between" showDropDown="false" showErrorMessage="false" showInputMessage="false" sqref="K5:K54" type="list">
      <formula1>"Power BI,Amplitude,Other"</formula1>
      <formula2>0</formula2>
    </dataValidation>
    <dataValidation allowBlank="true" errorStyle="stop" operator="between" showDropDown="false" showErrorMessage="false" showInputMessage="false" sqref="L5:L54" type="list">
      <formula1>"Daily,Weekly,Monthly,Per release"</formula1>
      <formula2>0</formula2>
    </dataValidation>
    <dataValidation allowBlank="true" errorStyle="stop" operator="between" showDropDown="false" showErrorMessage="false" showInputMessage="false" sqref="U5:U54" type="list">
      <formula1>"Approved,Proposed,Pending decision,Retired"</formula1>
      <formula2>0</formula2>
    </dataValidation>
    <dataValidation allowBlank="true" errorStyle="stop" operator="between" showDropDown="false" showErrorMessage="false" showInputMessage="false" sqref="V5:V54" type="list">
      <formula1>"Yes,Partial,No,Not applicable"</formula1>
      <formula2>0</formula2>
    </dataValidation>
    <dataValidation allowBlank="true" errorStyle="stop" operator="between" showDropDown="false" showErrorMessage="false" showInputMessage="false" sqref="W5:W54" type="list">
      <formula1>"Yes,In progress,No,Blocked"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3" min="3" style="0" width="30"/>
    <col collapsed="false" customWidth="true" hidden="false" outlineLevel="0" max="4" min="4" style="0" width="12"/>
    <col collapsed="false" customWidth="true" hidden="false" outlineLevel="0" max="5" min="5" style="0" width="16"/>
    <col collapsed="false" customWidth="true" hidden="false" outlineLevel="0" max="6" min="6" style="0" width="40"/>
    <col collapsed="false" customWidth="true" hidden="false" outlineLevel="0" max="7" min="7" style="0" width="36"/>
  </cols>
  <sheetData>
    <row r="1" customFormat="false" ht="19.7" hidden="false" customHeight="false" outlineLevel="0" collapsed="false">
      <c r="A1" s="21" t="s">
        <v>350</v>
      </c>
    </row>
    <row r="2" customFormat="false" ht="15" hidden="false" customHeight="false" outlineLevel="0" collapsed="false">
      <c r="A2" s="16" t="s">
        <v>351</v>
      </c>
    </row>
    <row r="3" customFormat="false" ht="31.5" hidden="false" customHeight="true" outlineLevel="0" collapsed="false">
      <c r="A3" s="34" t="s">
        <v>352</v>
      </c>
      <c r="B3" s="34"/>
      <c r="C3" s="34"/>
      <c r="D3" s="34"/>
      <c r="E3" s="34"/>
      <c r="F3" s="34"/>
    </row>
    <row r="5" customFormat="false" ht="19.5" hidden="false" customHeight="true" outlineLevel="0" collapsed="false">
      <c r="A5" s="7" t="s">
        <v>353</v>
      </c>
      <c r="B5" s="8"/>
      <c r="C5" s="8"/>
      <c r="D5" s="8"/>
      <c r="E5" s="8"/>
      <c r="F5" s="8"/>
    </row>
    <row r="6" customFormat="false" ht="30" hidden="false" customHeight="true" outlineLevel="0" collapsed="false">
      <c r="A6" s="10" t="s">
        <v>354</v>
      </c>
      <c r="B6" s="10" t="s">
        <v>92</v>
      </c>
      <c r="C6" s="10" t="s">
        <v>355</v>
      </c>
      <c r="D6" s="10" t="s">
        <v>356</v>
      </c>
      <c r="E6" s="10" t="s">
        <v>357</v>
      </c>
      <c r="F6" s="10" t="s">
        <v>112</v>
      </c>
    </row>
    <row r="7" customFormat="false" ht="31.5" hidden="false" customHeight="true" outlineLevel="0" collapsed="false">
      <c r="A7" s="11" t="s">
        <v>358</v>
      </c>
      <c r="B7" s="12" t="s">
        <v>359</v>
      </c>
      <c r="C7" s="12" t="s">
        <v>360</v>
      </c>
      <c r="D7" s="13" t="s">
        <v>361</v>
      </c>
      <c r="E7" s="12" t="s">
        <v>358</v>
      </c>
      <c r="F7" s="12"/>
    </row>
    <row r="8" customFormat="false" ht="31.5" hidden="false" customHeight="true" outlineLevel="0" collapsed="false">
      <c r="A8" s="11" t="s">
        <v>362</v>
      </c>
      <c r="B8" s="12" t="s">
        <v>363</v>
      </c>
      <c r="C8" s="12" t="s">
        <v>364</v>
      </c>
      <c r="D8" s="13" t="s">
        <v>361</v>
      </c>
      <c r="E8" s="12" t="s">
        <v>365</v>
      </c>
      <c r="F8" s="12" t="s">
        <v>366</v>
      </c>
    </row>
    <row r="9" customFormat="false" ht="31.5" hidden="false" customHeight="true" outlineLevel="0" collapsed="false">
      <c r="A9" s="11" t="s">
        <v>367</v>
      </c>
      <c r="B9" s="12" t="s">
        <v>368</v>
      </c>
      <c r="C9" s="12" t="s">
        <v>369</v>
      </c>
      <c r="D9" s="13" t="s">
        <v>361</v>
      </c>
      <c r="E9" s="12" t="s">
        <v>370</v>
      </c>
      <c r="F9" s="12"/>
    </row>
    <row r="10" customFormat="false" ht="31.5" hidden="false" customHeight="true" outlineLevel="0" collapsed="false">
      <c r="A10" s="11" t="s">
        <v>371</v>
      </c>
      <c r="B10" s="12" t="s">
        <v>372</v>
      </c>
      <c r="C10" s="12" t="s">
        <v>373</v>
      </c>
      <c r="D10" s="13" t="s">
        <v>361</v>
      </c>
      <c r="E10" s="12" t="s">
        <v>371</v>
      </c>
      <c r="F10" s="12" t="s">
        <v>374</v>
      </c>
    </row>
    <row r="11" customFormat="false" ht="31.5" hidden="false" customHeight="true" outlineLevel="0" collapsed="false">
      <c r="A11" s="11" t="s">
        <v>375</v>
      </c>
      <c r="B11" s="12" t="s">
        <v>376</v>
      </c>
      <c r="C11" s="12" t="s">
        <v>377</v>
      </c>
      <c r="D11" s="13" t="s">
        <v>378</v>
      </c>
      <c r="E11" s="12" t="s">
        <v>375</v>
      </c>
      <c r="F11" s="12" t="s">
        <v>379</v>
      </c>
    </row>
    <row r="12" customFormat="false" ht="31.5" hidden="false" customHeight="true" outlineLevel="0" collapsed="false">
      <c r="A12" s="11" t="s">
        <v>380</v>
      </c>
      <c r="B12" s="12" t="s">
        <v>381</v>
      </c>
      <c r="C12" s="12" t="s">
        <v>382</v>
      </c>
      <c r="D12" s="13" t="s">
        <v>378</v>
      </c>
      <c r="E12" s="12" t="s">
        <v>383</v>
      </c>
      <c r="F12" s="12" t="s">
        <v>384</v>
      </c>
    </row>
    <row r="13" customFormat="false" ht="19.5" hidden="false" customHeight="true" outlineLevel="0" collapsed="false">
      <c r="A13" s="11" t="s">
        <v>385</v>
      </c>
      <c r="B13" s="12" t="s">
        <v>386</v>
      </c>
      <c r="C13" s="12" t="s">
        <v>387</v>
      </c>
      <c r="D13" s="13" t="s">
        <v>378</v>
      </c>
      <c r="E13" s="12" t="s">
        <v>385</v>
      </c>
      <c r="F13" s="12"/>
    </row>
    <row r="14" customFormat="false" ht="31.5" hidden="false" customHeight="true" outlineLevel="0" collapsed="false">
      <c r="A14" s="11" t="s">
        <v>388</v>
      </c>
      <c r="B14" s="12" t="s">
        <v>389</v>
      </c>
      <c r="C14" s="12" t="s">
        <v>390</v>
      </c>
      <c r="D14" s="13" t="s">
        <v>378</v>
      </c>
      <c r="E14" s="12" t="s">
        <v>388</v>
      </c>
      <c r="F14" s="12" t="s">
        <v>391</v>
      </c>
    </row>
    <row r="15" customFormat="false" ht="31.5" hidden="false" customHeight="true" outlineLevel="0" collapsed="false">
      <c r="A15" s="11" t="s">
        <v>392</v>
      </c>
      <c r="B15" s="12" t="s">
        <v>393</v>
      </c>
      <c r="C15" s="12" t="s">
        <v>394</v>
      </c>
      <c r="D15" s="13" t="s">
        <v>378</v>
      </c>
      <c r="E15" s="12" t="s">
        <v>392</v>
      </c>
      <c r="F15" s="12"/>
    </row>
    <row r="16" customFormat="false" ht="15" hidden="false" customHeight="false" outlineLevel="0" collapsed="false">
      <c r="A16" s="35" t="s">
        <v>395</v>
      </c>
      <c r="B16" s="35"/>
      <c r="C16" s="35"/>
      <c r="D16" s="35"/>
      <c r="E16" s="35"/>
      <c r="F16" s="35"/>
    </row>
    <row r="18" customFormat="false" ht="19.5" hidden="false" customHeight="true" outlineLevel="0" collapsed="false">
      <c r="A18" s="7" t="s">
        <v>396</v>
      </c>
      <c r="B18" s="8"/>
      <c r="C18" s="8"/>
      <c r="D18" s="8"/>
      <c r="E18" s="8"/>
      <c r="F18" s="8"/>
      <c r="G18" s="8"/>
    </row>
    <row r="19" customFormat="false" ht="43.5" hidden="false" customHeight="true" outlineLevel="0" collapsed="false">
      <c r="A19" s="10" t="s">
        <v>21</v>
      </c>
      <c r="B19" s="10" t="s">
        <v>397</v>
      </c>
      <c r="C19" s="10" t="s">
        <v>398</v>
      </c>
      <c r="D19" s="10" t="s">
        <v>399</v>
      </c>
      <c r="E19" s="10" t="s">
        <v>400</v>
      </c>
      <c r="F19" s="10" t="s">
        <v>401</v>
      </c>
      <c r="G19" s="10" t="s">
        <v>402</v>
      </c>
    </row>
    <row r="20" customFormat="false" ht="30" hidden="false" customHeight="true" outlineLevel="0" collapsed="false">
      <c r="A20" s="11" t="s">
        <v>385</v>
      </c>
      <c r="B20" s="13" t="s">
        <v>151</v>
      </c>
      <c r="C20" s="13" t="s">
        <v>151</v>
      </c>
      <c r="D20" s="13" t="s">
        <v>403</v>
      </c>
      <c r="E20" s="13" t="s">
        <v>385</v>
      </c>
      <c r="F20" s="13" t="s">
        <v>385</v>
      </c>
      <c r="G20" s="12" t="s">
        <v>404</v>
      </c>
    </row>
    <row r="21" customFormat="false" ht="30" hidden="false" customHeight="true" outlineLevel="0" collapsed="false">
      <c r="A21" s="11" t="s">
        <v>388</v>
      </c>
      <c r="B21" s="13" t="s">
        <v>151</v>
      </c>
      <c r="C21" s="13" t="s">
        <v>405</v>
      </c>
      <c r="D21" s="13" t="s">
        <v>406</v>
      </c>
      <c r="E21" s="13" t="s">
        <v>392</v>
      </c>
      <c r="F21" s="13" t="s">
        <v>385</v>
      </c>
      <c r="G21" s="12" t="s">
        <v>407</v>
      </c>
    </row>
    <row r="22" customFormat="false" ht="30" hidden="false" customHeight="true" outlineLevel="0" collapsed="false">
      <c r="A22" s="11" t="s">
        <v>392</v>
      </c>
      <c r="B22" s="13" t="s">
        <v>151</v>
      </c>
      <c r="C22" s="13" t="s">
        <v>127</v>
      </c>
      <c r="D22" s="13" t="s">
        <v>408</v>
      </c>
      <c r="E22" s="13" t="s">
        <v>392</v>
      </c>
      <c r="F22" s="13" t="s">
        <v>392</v>
      </c>
      <c r="G22" s="12" t="s">
        <v>409</v>
      </c>
    </row>
    <row r="23" customFormat="false" ht="30" hidden="false" customHeight="true" outlineLevel="0" collapsed="false">
      <c r="A23" s="11" t="s">
        <v>375</v>
      </c>
      <c r="B23" s="13" t="s">
        <v>127</v>
      </c>
      <c r="C23" s="13" t="s">
        <v>127</v>
      </c>
      <c r="D23" s="13" t="s">
        <v>408</v>
      </c>
      <c r="E23" s="13" t="s">
        <v>392</v>
      </c>
      <c r="F23" s="13" t="s">
        <v>410</v>
      </c>
      <c r="G23" s="12" t="s">
        <v>411</v>
      </c>
    </row>
    <row r="24" customFormat="false" ht="30" hidden="false" customHeight="true" outlineLevel="0" collapsed="false">
      <c r="A24" s="11" t="s">
        <v>380</v>
      </c>
      <c r="B24" s="13" t="s">
        <v>127</v>
      </c>
      <c r="C24" s="13" t="s">
        <v>127</v>
      </c>
      <c r="D24" s="13" t="s">
        <v>408</v>
      </c>
      <c r="E24" s="13" t="s">
        <v>392</v>
      </c>
      <c r="F24" s="13" t="s">
        <v>410</v>
      </c>
      <c r="G24" s="12" t="s">
        <v>412</v>
      </c>
    </row>
    <row r="26" customFormat="false" ht="19.5" hidden="false" customHeight="true" outlineLevel="0" collapsed="false">
      <c r="A26" s="7" t="s">
        <v>413</v>
      </c>
      <c r="B26" s="8"/>
      <c r="C26" s="8"/>
      <c r="D26" s="8"/>
      <c r="E26" s="8"/>
      <c r="F26" s="8"/>
      <c r="G26" s="8"/>
    </row>
    <row r="27" customFormat="false" ht="15" hidden="false" customHeight="false" outlineLevel="0" collapsed="false">
      <c r="A27" s="22" t="s">
        <v>414</v>
      </c>
    </row>
    <row r="28" customFormat="false" ht="30" hidden="false" customHeight="true" outlineLevel="0" collapsed="false">
      <c r="A28" s="10" t="s">
        <v>415</v>
      </c>
      <c r="B28" s="10" t="s">
        <v>416</v>
      </c>
    </row>
    <row r="29" customFormat="false" ht="15" hidden="false" customHeight="false" outlineLevel="0" collapsed="false">
      <c r="A29" s="36" t="s">
        <v>385</v>
      </c>
      <c r="B29" s="37" t="n">
        <v>40</v>
      </c>
    </row>
    <row r="30" customFormat="false" ht="15" hidden="false" customHeight="false" outlineLevel="0" collapsed="false">
      <c r="A30" s="36" t="s">
        <v>388</v>
      </c>
      <c r="B30" s="37" t="n">
        <v>10</v>
      </c>
    </row>
    <row r="31" customFormat="false" ht="15" hidden="false" customHeight="false" outlineLevel="0" collapsed="false">
      <c r="A31" s="36" t="s">
        <v>392</v>
      </c>
      <c r="B31" s="37" t="n">
        <v>30</v>
      </c>
    </row>
    <row r="32" customFormat="false" ht="15" hidden="false" customHeight="false" outlineLevel="0" collapsed="false">
      <c r="A32" s="36" t="s">
        <v>375</v>
      </c>
      <c r="B32" s="37" t="n">
        <v>12</v>
      </c>
    </row>
    <row r="33" customFormat="false" ht="15" hidden="false" customHeight="false" outlineLevel="0" collapsed="false">
      <c r="A33" s="36" t="s">
        <v>380</v>
      </c>
      <c r="B33" s="37" t="n">
        <v>8</v>
      </c>
    </row>
    <row r="34" customFormat="false" ht="15" hidden="false" customHeight="false" outlineLevel="0" collapsed="false">
      <c r="A34" s="36" t="s">
        <v>417</v>
      </c>
      <c r="B34" s="20" t="n">
        <f aca="false">SUM(B29:B33)</f>
        <v>100</v>
      </c>
    </row>
    <row r="36" customFormat="false" ht="30" hidden="false" customHeight="true" outlineLevel="0" collapsed="false">
      <c r="A36" s="10" t="s">
        <v>418</v>
      </c>
      <c r="B36" s="10" t="s">
        <v>93</v>
      </c>
      <c r="C36" s="10" t="s">
        <v>419</v>
      </c>
    </row>
    <row r="37" customFormat="false" ht="36" hidden="false" customHeight="true" outlineLevel="0" collapsed="false">
      <c r="A37" s="11" t="s">
        <v>400</v>
      </c>
      <c r="B37" s="12" t="s">
        <v>420</v>
      </c>
      <c r="C37" s="38" t="n">
        <f aca="false">IFERROR($B$29/$B$34,0)</f>
        <v>0.4</v>
      </c>
    </row>
    <row r="38" customFormat="false" ht="36" hidden="false" customHeight="true" outlineLevel="0" collapsed="false">
      <c r="A38" s="11" t="s">
        <v>401</v>
      </c>
      <c r="B38" s="12" t="s">
        <v>421</v>
      </c>
      <c r="C38" s="38" t="n">
        <f aca="false">IFERROR(($B$29+$B$30)/($B$29+$B$30+$B$31),0)</f>
        <v>0.625</v>
      </c>
    </row>
    <row r="39" customFormat="false" ht="36" hidden="false" customHeight="true" outlineLevel="0" collapsed="false">
      <c r="A39" s="11" t="s">
        <v>422</v>
      </c>
      <c r="B39" s="12" t="s">
        <v>423</v>
      </c>
      <c r="C39" s="38" t="n">
        <f aca="false">IFERROR($B$29/($B$29+$B$30+$B$31),0)</f>
        <v>0.5</v>
      </c>
    </row>
    <row r="40" customFormat="false" ht="36" hidden="false" customHeight="true" outlineLevel="0" collapsed="false">
      <c r="A40" s="11" t="s">
        <v>424</v>
      </c>
      <c r="B40" s="12" t="s">
        <v>425</v>
      </c>
      <c r="C40" s="38" t="n">
        <f aca="false">IFERROR($B$30/($B$29+$B$30+$B$31),0)</f>
        <v>0.125</v>
      </c>
    </row>
    <row r="41" customFormat="false" ht="36" hidden="false" customHeight="true" outlineLevel="0" collapsed="false">
      <c r="A41" s="11" t="s">
        <v>426</v>
      </c>
      <c r="B41" s="12" t="s">
        <v>427</v>
      </c>
      <c r="C41" s="38" t="n">
        <f aca="false">IFERROR($B$33/$B$34,0)</f>
        <v>0.08</v>
      </c>
    </row>
    <row r="43" customFormat="false" ht="43.5" hidden="false" customHeight="true" outlineLevel="0" collapsed="false">
      <c r="A43" s="39" t="s">
        <v>428</v>
      </c>
      <c r="B43" s="39"/>
      <c r="C43" s="39"/>
      <c r="D43" s="39"/>
      <c r="E43" s="39"/>
      <c r="F43" s="39"/>
    </row>
  </sheetData>
  <mergeCells count="3">
    <mergeCell ref="A3:F3"/>
    <mergeCell ref="A16:F16"/>
    <mergeCell ref="A43:F4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38"/>
    <col collapsed="false" customWidth="true" hidden="false" outlineLevel="0" max="4" min="4" style="0" width="14"/>
    <col collapsed="false" customWidth="true" hidden="false" outlineLevel="0" max="5" min="5" style="0" width="20"/>
    <col collapsed="false" customWidth="true" hidden="false" outlineLevel="0" max="6" min="6" style="0" width="24"/>
    <col collapsed="false" customWidth="true" hidden="false" outlineLevel="0" max="7" min="7" style="0" width="16"/>
    <col collapsed="false" customWidth="true" hidden="false" outlineLevel="0" max="8" min="8" style="0" width="34"/>
    <col collapsed="false" customWidth="true" hidden="false" outlineLevel="0" max="9" min="9" style="0" width="16"/>
    <col collapsed="false" customWidth="true" hidden="false" outlineLevel="0" max="10" min="10" style="0" width="11"/>
  </cols>
  <sheetData>
    <row r="1" customFormat="false" ht="19.7" hidden="false" customHeight="false" outlineLevel="0" collapsed="false">
      <c r="A1" s="21" t="s">
        <v>429</v>
      </c>
    </row>
    <row r="2" customFormat="false" ht="15" hidden="false" customHeight="false" outlineLevel="0" collapsed="false">
      <c r="A2" s="16" t="s">
        <v>430</v>
      </c>
    </row>
    <row r="3" customFormat="false" ht="15" hidden="false" customHeight="false" outlineLevel="0" collapsed="false">
      <c r="A3" s="22" t="s">
        <v>431</v>
      </c>
    </row>
    <row r="4" customFormat="false" ht="39.75" hidden="false" customHeight="true" outlineLevel="0" collapsed="false">
      <c r="A4" s="23" t="s">
        <v>432</v>
      </c>
      <c r="B4" s="23" t="s">
        <v>433</v>
      </c>
      <c r="C4" s="23" t="s">
        <v>434</v>
      </c>
      <c r="D4" s="23" t="s">
        <v>435</v>
      </c>
      <c r="E4" s="23" t="s">
        <v>436</v>
      </c>
      <c r="F4" s="23" t="s">
        <v>437</v>
      </c>
      <c r="G4" s="23" t="s">
        <v>438</v>
      </c>
      <c r="H4" s="23" t="s">
        <v>439</v>
      </c>
      <c r="I4" s="23" t="s">
        <v>440</v>
      </c>
      <c r="J4" s="23" t="s">
        <v>441</v>
      </c>
    </row>
    <row r="5" customFormat="false" ht="31.5" hidden="false" customHeight="true" outlineLevel="0" collapsed="false">
      <c r="A5" s="11" t="s">
        <v>442</v>
      </c>
      <c r="B5" s="12" t="s">
        <v>443</v>
      </c>
      <c r="C5" s="12" t="s">
        <v>444</v>
      </c>
      <c r="D5" s="13" t="s">
        <v>445</v>
      </c>
      <c r="E5" s="12" t="s">
        <v>446</v>
      </c>
      <c r="F5" s="12" t="s">
        <v>447</v>
      </c>
      <c r="G5" s="12" t="s">
        <v>250</v>
      </c>
      <c r="H5" s="12" t="s">
        <v>448</v>
      </c>
      <c r="I5" s="12" t="s">
        <v>449</v>
      </c>
      <c r="J5" s="13" t="s">
        <v>450</v>
      </c>
    </row>
    <row r="6" customFormat="false" ht="31.5" hidden="false" customHeight="true" outlineLevel="0" collapsed="false">
      <c r="A6" s="11" t="s">
        <v>451</v>
      </c>
      <c r="B6" s="12" t="s">
        <v>452</v>
      </c>
      <c r="C6" s="12" t="s">
        <v>453</v>
      </c>
      <c r="D6" s="13" t="s">
        <v>445</v>
      </c>
      <c r="E6" s="12" t="s">
        <v>454</v>
      </c>
      <c r="F6" s="12" t="s">
        <v>455</v>
      </c>
      <c r="G6" s="12" t="s">
        <v>456</v>
      </c>
      <c r="H6" s="12" t="s">
        <v>457</v>
      </c>
      <c r="I6" s="12" t="s">
        <v>458</v>
      </c>
      <c r="J6" s="13" t="s">
        <v>450</v>
      </c>
    </row>
    <row r="7" customFormat="false" ht="31.5" hidden="false" customHeight="true" outlineLevel="0" collapsed="false">
      <c r="A7" s="11" t="s">
        <v>459</v>
      </c>
      <c r="B7" s="12" t="s">
        <v>443</v>
      </c>
      <c r="C7" s="12" t="s">
        <v>460</v>
      </c>
      <c r="D7" s="13" t="s">
        <v>445</v>
      </c>
      <c r="E7" s="12" t="s">
        <v>461</v>
      </c>
      <c r="F7" s="12" t="s">
        <v>447</v>
      </c>
      <c r="G7" s="12" t="s">
        <v>150</v>
      </c>
      <c r="H7" s="12" t="s">
        <v>462</v>
      </c>
      <c r="I7" s="12" t="s">
        <v>463</v>
      </c>
      <c r="J7" s="13" t="s">
        <v>450</v>
      </c>
    </row>
    <row r="8" customFormat="false" ht="24" hidden="false" customHeight="true" outlineLevel="0" collapsed="false">
      <c r="A8" s="11" t="s">
        <v>464</v>
      </c>
      <c r="B8" s="12" t="s">
        <v>443</v>
      </c>
      <c r="C8" s="12" t="s">
        <v>465</v>
      </c>
      <c r="D8" s="13" t="s">
        <v>466</v>
      </c>
      <c r="E8" s="12" t="s">
        <v>467</v>
      </c>
      <c r="F8" s="12" t="s">
        <v>447</v>
      </c>
      <c r="G8" s="12" t="s">
        <v>125</v>
      </c>
      <c r="H8" s="12" t="s">
        <v>468</v>
      </c>
      <c r="I8" s="12" t="s">
        <v>114</v>
      </c>
      <c r="J8" s="13" t="s">
        <v>469</v>
      </c>
    </row>
    <row r="9" customFormat="false" ht="31.5" hidden="false" customHeight="true" outlineLevel="0" collapsed="false">
      <c r="A9" s="11" t="s">
        <v>470</v>
      </c>
      <c r="B9" s="12" t="s">
        <v>443</v>
      </c>
      <c r="C9" s="12" t="s">
        <v>471</v>
      </c>
      <c r="D9" s="13" t="s">
        <v>466</v>
      </c>
      <c r="E9" s="12" t="s">
        <v>472</v>
      </c>
      <c r="F9" s="12" t="s">
        <v>473</v>
      </c>
      <c r="G9" s="12" t="s">
        <v>125</v>
      </c>
      <c r="H9" s="12" t="s">
        <v>474</v>
      </c>
      <c r="I9" s="12" t="s">
        <v>114</v>
      </c>
      <c r="J9" s="13" t="s">
        <v>469</v>
      </c>
    </row>
    <row r="10" customFormat="false" ht="31.5" hidden="false" customHeight="true" outlineLevel="0" collapsed="false">
      <c r="A10" s="11" t="s">
        <v>475</v>
      </c>
      <c r="B10" s="12" t="s">
        <v>443</v>
      </c>
      <c r="C10" s="12" t="s">
        <v>476</v>
      </c>
      <c r="D10" s="13" t="s">
        <v>477</v>
      </c>
      <c r="E10" s="12" t="s">
        <v>371</v>
      </c>
      <c r="F10" s="12" t="s">
        <v>478</v>
      </c>
      <c r="G10" s="12" t="s">
        <v>250</v>
      </c>
      <c r="H10" s="12" t="s">
        <v>479</v>
      </c>
      <c r="I10" s="12" t="s">
        <v>480</v>
      </c>
      <c r="J10" s="13" t="s">
        <v>450</v>
      </c>
    </row>
    <row r="11" customFormat="false" ht="31.5" hidden="false" customHeight="true" outlineLevel="0" collapsed="false">
      <c r="A11" s="11" t="s">
        <v>481</v>
      </c>
      <c r="B11" s="12" t="s">
        <v>443</v>
      </c>
      <c r="C11" s="12" t="s">
        <v>482</v>
      </c>
      <c r="D11" s="13" t="s">
        <v>477</v>
      </c>
      <c r="E11" s="12" t="s">
        <v>388</v>
      </c>
      <c r="F11" s="12" t="s">
        <v>483</v>
      </c>
      <c r="G11" s="12" t="s">
        <v>125</v>
      </c>
      <c r="H11" s="12" t="s">
        <v>484</v>
      </c>
      <c r="I11" s="12" t="s">
        <v>485</v>
      </c>
      <c r="J11" s="13" t="s">
        <v>450</v>
      </c>
    </row>
    <row r="12" customFormat="false" ht="31.5" hidden="false" customHeight="true" outlineLevel="0" collapsed="false">
      <c r="A12" s="11" t="s">
        <v>486</v>
      </c>
      <c r="B12" s="12" t="s">
        <v>443</v>
      </c>
      <c r="C12" s="12" t="s">
        <v>487</v>
      </c>
      <c r="D12" s="13" t="s">
        <v>488</v>
      </c>
      <c r="E12" s="12" t="s">
        <v>489</v>
      </c>
      <c r="F12" s="12" t="s">
        <v>490</v>
      </c>
      <c r="G12" s="12" t="s">
        <v>150</v>
      </c>
      <c r="H12" s="12" t="s">
        <v>491</v>
      </c>
      <c r="I12" s="12" t="s">
        <v>142</v>
      </c>
      <c r="J12" s="13" t="s">
        <v>450</v>
      </c>
    </row>
    <row r="13" customFormat="false" ht="31.5" hidden="false" customHeight="true" outlineLevel="0" collapsed="false">
      <c r="A13" s="11" t="s">
        <v>492</v>
      </c>
      <c r="B13" s="12" t="s">
        <v>443</v>
      </c>
      <c r="C13" s="12" t="s">
        <v>493</v>
      </c>
      <c r="D13" s="13" t="s">
        <v>488</v>
      </c>
      <c r="E13" s="12" t="s">
        <v>494</v>
      </c>
      <c r="F13" s="12" t="s">
        <v>495</v>
      </c>
      <c r="G13" s="12" t="s">
        <v>250</v>
      </c>
      <c r="H13" s="12" t="s">
        <v>496</v>
      </c>
      <c r="I13" s="12" t="s">
        <v>142</v>
      </c>
      <c r="J13" s="13" t="s">
        <v>450</v>
      </c>
    </row>
    <row r="14" customFormat="false" ht="31.5" hidden="false" customHeight="true" outlineLevel="0" collapsed="false">
      <c r="A14" s="11" t="s">
        <v>497</v>
      </c>
      <c r="B14" s="12" t="s">
        <v>443</v>
      </c>
      <c r="C14" s="12" t="s">
        <v>498</v>
      </c>
      <c r="D14" s="13" t="s">
        <v>488</v>
      </c>
      <c r="E14" s="12" t="s">
        <v>499</v>
      </c>
      <c r="F14" s="12" t="s">
        <v>500</v>
      </c>
      <c r="G14" s="12" t="s">
        <v>250</v>
      </c>
      <c r="H14" s="12" t="s">
        <v>501</v>
      </c>
      <c r="I14" s="12" t="s">
        <v>485</v>
      </c>
      <c r="J14" s="13" t="s">
        <v>450</v>
      </c>
    </row>
    <row r="15" customFormat="false" ht="31.5" hidden="false" customHeight="true" outlineLevel="0" collapsed="false">
      <c r="A15" s="11" t="s">
        <v>502</v>
      </c>
      <c r="B15" s="12" t="s">
        <v>503</v>
      </c>
      <c r="C15" s="12" t="s">
        <v>504</v>
      </c>
      <c r="D15" s="13" t="s">
        <v>488</v>
      </c>
      <c r="E15" s="12" t="s">
        <v>505</v>
      </c>
      <c r="F15" s="12" t="s">
        <v>506</v>
      </c>
      <c r="G15" s="12" t="s">
        <v>250</v>
      </c>
      <c r="H15" s="12" t="s">
        <v>507</v>
      </c>
      <c r="I15" s="12" t="s">
        <v>242</v>
      </c>
      <c r="J15" s="13" t="s">
        <v>450</v>
      </c>
    </row>
    <row r="16" customFormat="false" ht="24" hidden="false" customHeight="true" outlineLevel="0" collapsed="false">
      <c r="A16" s="11" t="s">
        <v>508</v>
      </c>
      <c r="B16" s="12" t="s">
        <v>503</v>
      </c>
      <c r="C16" s="12" t="s">
        <v>509</v>
      </c>
      <c r="D16" s="13" t="s">
        <v>488</v>
      </c>
      <c r="E16" s="12" t="s">
        <v>510</v>
      </c>
      <c r="F16" s="12" t="s">
        <v>511</v>
      </c>
      <c r="G16" s="12" t="s">
        <v>250</v>
      </c>
      <c r="H16" s="12" t="s">
        <v>512</v>
      </c>
      <c r="I16" s="12" t="s">
        <v>242</v>
      </c>
      <c r="J16" s="13" t="s">
        <v>450</v>
      </c>
    </row>
    <row r="17" customFormat="false" ht="31.5" hidden="false" customHeight="true" outlineLevel="0" collapsed="false">
      <c r="A17" s="11" t="s">
        <v>513</v>
      </c>
      <c r="B17" s="12" t="s">
        <v>514</v>
      </c>
      <c r="C17" s="12" t="s">
        <v>515</v>
      </c>
      <c r="D17" s="13" t="s">
        <v>516</v>
      </c>
      <c r="E17" s="12" t="s">
        <v>517</v>
      </c>
      <c r="F17" s="12" t="s">
        <v>518</v>
      </c>
      <c r="G17" s="12" t="s">
        <v>150</v>
      </c>
      <c r="H17" s="12" t="s">
        <v>519</v>
      </c>
      <c r="I17" s="12" t="s">
        <v>178</v>
      </c>
      <c r="J17" s="13" t="s">
        <v>450</v>
      </c>
    </row>
    <row r="18" customFormat="false" ht="31.5" hidden="false" customHeight="true" outlineLevel="0" collapsed="false">
      <c r="A18" s="11" t="s">
        <v>520</v>
      </c>
      <c r="B18" s="12" t="s">
        <v>521</v>
      </c>
      <c r="C18" s="12" t="s">
        <v>522</v>
      </c>
      <c r="D18" s="13" t="s">
        <v>488</v>
      </c>
      <c r="E18" s="12" t="s">
        <v>523</v>
      </c>
      <c r="F18" s="12" t="s">
        <v>524</v>
      </c>
      <c r="G18" s="12" t="s">
        <v>150</v>
      </c>
      <c r="H18" s="12" t="s">
        <v>525</v>
      </c>
      <c r="I18" s="12" t="s">
        <v>167</v>
      </c>
      <c r="J18" s="13" t="s">
        <v>450</v>
      </c>
    </row>
    <row r="19" customFormat="false" ht="31.5" hidden="false" customHeight="true" outlineLevel="0" collapsed="false">
      <c r="A19" s="11" t="s">
        <v>526</v>
      </c>
      <c r="B19" s="12" t="s">
        <v>527</v>
      </c>
      <c r="C19" s="12" t="s">
        <v>528</v>
      </c>
      <c r="D19" s="13" t="s">
        <v>529</v>
      </c>
      <c r="E19" s="12" t="s">
        <v>530</v>
      </c>
      <c r="F19" s="12" t="s">
        <v>531</v>
      </c>
      <c r="G19" s="12" t="s">
        <v>125</v>
      </c>
      <c r="H19" s="12" t="s">
        <v>532</v>
      </c>
      <c r="I19" s="12" t="s">
        <v>277</v>
      </c>
      <c r="J19" s="13" t="s">
        <v>469</v>
      </c>
    </row>
    <row r="20" customFormat="false" ht="31.5" hidden="false" customHeight="true" outlineLevel="0" collapsed="false">
      <c r="A20" s="11" t="s">
        <v>533</v>
      </c>
      <c r="B20" s="12" t="s">
        <v>534</v>
      </c>
      <c r="C20" s="12" t="s">
        <v>535</v>
      </c>
      <c r="D20" s="13" t="s">
        <v>529</v>
      </c>
      <c r="E20" s="12" t="s">
        <v>530</v>
      </c>
      <c r="F20" s="12" t="s">
        <v>536</v>
      </c>
      <c r="G20" s="12" t="s">
        <v>125</v>
      </c>
      <c r="H20" s="12" t="s">
        <v>537</v>
      </c>
      <c r="I20" s="12" t="s">
        <v>277</v>
      </c>
      <c r="J20" s="13" t="s">
        <v>469</v>
      </c>
    </row>
    <row r="21" customFormat="false" ht="31.5" hidden="false" customHeight="true" outlineLevel="0" collapsed="false">
      <c r="A21" s="11" t="s">
        <v>538</v>
      </c>
      <c r="B21" s="12" t="s">
        <v>539</v>
      </c>
      <c r="C21" s="12" t="s">
        <v>540</v>
      </c>
      <c r="D21" s="13" t="s">
        <v>445</v>
      </c>
      <c r="E21" s="12" t="s">
        <v>541</v>
      </c>
      <c r="F21" s="12" t="s">
        <v>208</v>
      </c>
      <c r="G21" s="12" t="s">
        <v>185</v>
      </c>
      <c r="H21" s="12" t="s">
        <v>542</v>
      </c>
      <c r="I21" s="12" t="s">
        <v>543</v>
      </c>
      <c r="J21" s="13" t="s">
        <v>450</v>
      </c>
    </row>
    <row r="22" customFormat="false" ht="31.5" hidden="false" customHeight="true" outlineLevel="0" collapsed="false">
      <c r="A22" s="11" t="s">
        <v>544</v>
      </c>
      <c r="B22" s="12" t="s">
        <v>539</v>
      </c>
      <c r="C22" s="12" t="s">
        <v>545</v>
      </c>
      <c r="D22" s="13" t="s">
        <v>546</v>
      </c>
      <c r="E22" s="12" t="s">
        <v>547</v>
      </c>
      <c r="F22" s="12" t="s">
        <v>208</v>
      </c>
      <c r="G22" s="12" t="s">
        <v>185</v>
      </c>
      <c r="H22" s="12" t="s">
        <v>548</v>
      </c>
      <c r="I22" s="12" t="s">
        <v>543</v>
      </c>
      <c r="J22" s="13" t="s">
        <v>450</v>
      </c>
    </row>
  </sheetData>
  <autoFilter ref="A4:J22"/>
  <conditionalFormatting sqref="J5:J104">
    <cfRule type="cellIs" priority="2" operator="equal" aboveAverage="0" equalAverage="0" bottom="0" percent="0" rank="0" text="" dxfId="1">
      <formula>"Confidential"</formula>
    </cfRule>
    <cfRule type="cellIs" priority="3" operator="equal" aboveAverage="0" equalAverage="0" bottom="0" percent="0" rank="0" text="" dxfId="2">
      <formula>"Restricted"</formula>
    </cfRule>
  </conditionalFormatting>
  <dataValidations count="1">
    <dataValidation allowBlank="true" errorStyle="stop" operator="between" showDropDown="false" showErrorMessage="false" showInputMessage="false" sqref="J5:J104" type="list">
      <formula1>"Public,Internal,Confidential,Restricted"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2026-09-11T10:47:30Z</dcterms:created>
  <dc:creator>openpyxl</dc:creator>
  <dc:description/>
  <dc:language>en-US</dc:language>
  <cp:lastModifiedBy/>
  <dcterms:modified xsi:type="dcterms:W3CDTF">2026-09-11T10:47:34Z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