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Dashboard" sheetId="2" state="visible" r:id="rId4"/>
    <sheet name="Product Backlog" sheetId="3" state="visible" r:id="rId5"/>
    <sheet name="Epics" sheetId="4" state="visible" r:id="rId6"/>
    <sheet name="Sprint Plan" sheetId="5" state="visible" r:id="rId7"/>
  </sheets>
  <definedNames>
    <definedName function="false" hidden="false" localSheetId="3" name="_xlnm.Print_Area" vbProcedure="false">Epics!$A$1:$M$14</definedName>
    <definedName function="false" hidden="false" localSheetId="2" name="_xlnm.Print_Area" vbProcedure="false">'Product Backlog'!$A$1:$V$52</definedName>
    <definedName function="false" hidden="false" localSheetId="2" name="_xlnm.Print_Titles" vbProcedure="false">'Product Backlog'!$4:$4</definedName>
    <definedName function="false" hidden="true" localSheetId="2" name="_xlnm._FilterDatabase" vbProcedure="false">'Product Backlog'!$A$4:$V$104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<sst xmlns="http://schemas.openxmlformats.org/spreadsheetml/2006/main" count="972" uniqueCount="513">
  <si>
    <t xml:space="preserve">Product Backlog</t>
  </si>
  <si>
    <t xml:space="preserve">Merchant Payment Operations &amp; Dispute Hub</t>
  </si>
  <si>
    <t xml:space="preserve">Document</t>
  </si>
  <si>
    <t xml:space="preserve">Product Backlog, Epics and Sprint Plan</t>
  </si>
  <si>
    <t xml:space="preserve">Version</t>
  </si>
  <si>
    <t xml:space="preserve">1.0</t>
  </si>
  <si>
    <t xml:space="preserve">Reporting date</t>
  </si>
  <si>
    <t xml:space="preserve">Prepared by</t>
  </si>
  <si>
    <t xml:space="preserve">Bhawna, Product Owner</t>
  </si>
  <si>
    <t xml:space="preserve">Release</t>
  </si>
  <si>
    <t xml:space="preserve">MVP go-live 11-Dec-2026 (illustrative); Phase 2 items held separately</t>
  </si>
  <si>
    <t xml:space="preserve">Companion documents</t>
  </si>
  <si>
    <t xml:space="preserve">RAID_Log_Merchant_Dispute_Hub.xlsx and Change_Log_Merchant_Dispute_Hub.xlsx (Linked RAID / CR column uses their IDs)</t>
  </si>
  <si>
    <t xml:space="preserve">Project type</t>
  </si>
  <si>
    <t xml:space="preserve">Simulation / portfolio project prepared to demonstrate Product Owner practice. Not an actual client system; teams, dates and vendors are illustrative.</t>
  </si>
  <si>
    <t xml:space="preserve">Purpose</t>
  </si>
  <si>
    <t xml:space="preserve">The single ordered list of work for the Dispute Hub. It shows what is being built, why (persona and value), how completion is judged (acceptance criteria), when it is planned (sprint), and how each item connects to risks, issues, dependencies and approved changes.</t>
  </si>
  <si>
    <t xml:space="preserve">Backlog structure</t>
  </si>
  <si>
    <t xml:space="preserve">Item type</t>
  </si>
  <si>
    <t xml:space="preserve">Meaning</t>
  </si>
  <si>
    <t xml:space="preserve">Epic</t>
  </si>
  <si>
    <t xml:space="preserve">A large outcome for a group of users, delivered over several sprints (Epics tab).</t>
  </si>
  <si>
    <t xml:space="preserve">Story</t>
  </si>
  <si>
    <t xml:space="preserve">A slice of user value that fits in one sprint, written as: As a [persona], I want [goal], so that [value].</t>
  </si>
  <si>
    <t xml:space="preserve">Enabler</t>
  </si>
  <si>
    <t xml:space="preserve">Technical work the team needs to deliver stories, such as environments or a data model: In order to [outcome], the delivery team needs [capability].</t>
  </si>
  <si>
    <t xml:space="preserve">Spike</t>
  </si>
  <si>
    <t xml:space="preserve">Time-boxed research to reduce uncertainty before estimating or deciding. Output is findings, not production code.</t>
  </si>
  <si>
    <t xml:space="preserve">Definition of Ready (before an item enters a sprint)</t>
  </si>
  <si>
    <t xml:space="preserve">1. Written in story or enabler format with a clear persona and value.</t>
  </si>
  <si>
    <t xml:space="preserve">2. Acceptance criteria written in Given / When / Then form and agreed with the Product Owner.</t>
  </si>
  <si>
    <t xml:space="preserve">3. Estimated by the team at 13 points or fewer; anything larger is split.</t>
  </si>
  <si>
    <t xml:space="preserve">4. Dependencies identified and not blocking the sprint; designs attached for UI stories.</t>
  </si>
  <si>
    <t xml:space="preserve">5. Compliance impact tagged (PCI DSS, Privacy, Security, Accessibility, Network Rules or None).</t>
  </si>
  <si>
    <t xml:space="preserve">The 'DoR Fields Complete?' column checks the written fields automatically; team agreement on the rest happens in refinement.</t>
  </si>
  <si>
    <t xml:space="preserve">Definition of Done (before an item is marked Done)</t>
  </si>
  <si>
    <t xml:space="preserve">1. All acceptance criteria met and demonstrated to the Product Owner.</t>
  </si>
  <si>
    <t xml:space="preserve">2. Code peer reviewed, merged, and automated tests passing in the pipeline.</t>
  </si>
  <si>
    <t xml:space="preserve">3. No open critical or high defects against the item.</t>
  </si>
  <si>
    <t xml:space="preserve">4. Accessibility checks passed for any UI change; security and data handling checks passed where tagged.</t>
  </si>
  <si>
    <t xml:space="preserve">5. Analytics events, user help content and technical documentation updated where relevant.</t>
  </si>
  <si>
    <t xml:space="preserve">6. Accepted by the Product Owner in the sprint review.</t>
  </si>
  <si>
    <t xml:space="preserve">Estimation and prioritization</t>
  </si>
  <si>
    <t xml:space="preserve">Method</t>
  </si>
  <si>
    <t xml:space="preserve">How it's used</t>
  </si>
  <si>
    <t xml:space="preserve">Story points</t>
  </si>
  <si>
    <t xml:space="preserve">Relative effort on a Fibonacci scale: 1, 2, 3, 5, 8, 13. Items above 13 are split. Phase 2 items may carry rough estimates for planning only.</t>
  </si>
  <si>
    <t xml:space="preserve">MoSCoW</t>
  </si>
  <si>
    <t xml:space="preserve">Sets release scope. Must: MVP can't go live without it. Should: important, but a workaround exists. Could: valuable if capacity allows. Won't (this release): agreed out of MVP.</t>
  </si>
  <si>
    <t xml:space="preserve">Business value</t>
  </si>
  <si>
    <t xml:space="preserve">1 to 10, agreed with business owners. Value per point (value ÷ points) helps order items within the same MoSCoW group.</t>
  </si>
  <si>
    <t xml:space="preserve">Backlog order</t>
  </si>
  <si>
    <t xml:space="preserve">Order within a sprint follows dependencies first, then MoSCoW, then value per point, then risk reduction.</t>
  </si>
  <si>
    <t xml:space="preserve">Status values</t>
  </si>
  <si>
    <t xml:space="preserve">Field</t>
  </si>
  <si>
    <t xml:space="preserve">Values</t>
  </si>
  <si>
    <t xml:space="preserve">Status</t>
  </si>
  <si>
    <t xml:space="preserve">New · Refined · Ready (meets Definition of Ready) · In Progress · In Review · Done · Blocked · Deferred · Removed</t>
  </si>
  <si>
    <t xml:space="preserve">MVP · Phase 2 · TBD (depends on a pending change request)</t>
  </si>
  <si>
    <t xml:space="preserve">Sprint</t>
  </si>
  <si>
    <t xml:space="preserve">Sprint 1 to Sprint 10 · Backlog (not yet planned) · Phase 2</t>
  </si>
  <si>
    <t xml:space="preserve">How to maintain this backlog</t>
  </si>
  <si>
    <t xml:space="preserve">1. Add new items at the bottom of the Product Backlog tab with the next US-### ID; link them to an epic.</t>
  </si>
  <si>
    <t xml:space="preserve">2. Refine upcoming items weekly so the next two sprints always have enough Ready work.</t>
  </si>
  <si>
    <t xml:space="preserve">3. When a change request is approved, add or update the affected items and note the CR ID in Linked RAID / CR and Notes.</t>
  </si>
  <si>
    <t xml:space="preserve">4. When an item moves sprint, record why in Notes; the Sprint Plan recalculates planned points automatically.</t>
  </si>
  <si>
    <t xml:space="preserve">5. Never delete items. Mark them Removed or Deferred with a note so the history stays visible.</t>
  </si>
  <si>
    <t xml:space="preserve">Grey columns calculate automatically. Yellow cells on the Sprint Plan are editable capacity settings.</t>
  </si>
  <si>
    <t xml:space="preserve">Version history</t>
  </si>
  <si>
    <t xml:space="preserve">Date</t>
  </si>
  <si>
    <t xml:space="preserve">Author</t>
  </si>
  <si>
    <t xml:space="preserve">Change summary</t>
  </si>
  <si>
    <t xml:space="preserve">Bhawna</t>
  </si>
  <si>
    <t xml:space="preserve">Backlog baseline after Sprint 4 refinement; includes changes from CR-02, CR-03, CR-04, CR-07 and CR-08.</t>
  </si>
  <si>
    <t xml:space="preserve">Product Backlog Dashboard</t>
  </si>
  <si>
    <t xml:space="preserve">Merchant Payment Operations &amp; Dispute Hub · Simulation project · Figures update automatically</t>
  </si>
  <si>
    <t xml:space="preserve">Summary</t>
  </si>
  <si>
    <t xml:space="preserve">Backlog items</t>
  </si>
  <si>
    <t xml:space="preserve">MVP story points</t>
  </si>
  <si>
    <t xml:space="preserve">MVP points done</t>
  </si>
  <si>
    <t xml:space="preserve">MVP % complete</t>
  </si>
  <si>
    <t xml:space="preserve">Ready items</t>
  </si>
  <si>
    <t xml:space="preserve">Blocked items</t>
  </si>
  <si>
    <t xml:space="preserve">DoR gaps (open, not Phase 2)</t>
  </si>
  <si>
    <t xml:space="preserve">MVP progress by epic</t>
  </si>
  <si>
    <t xml:space="preserve">Epic ID</t>
  </si>
  <si>
    <t xml:space="preserve">MVP items</t>
  </si>
  <si>
    <t xml:space="preserve">MVP points</t>
  </si>
  <si>
    <t xml:space="preserve">Points done</t>
  </si>
  <si>
    <t xml:space="preserve">% complete</t>
  </si>
  <si>
    <t xml:space="preserve">Business owner</t>
  </si>
  <si>
    <t xml:space="preserve">Sprint capacity, planned and completed points</t>
  </si>
  <si>
    <t xml:space="preserve">MVP scope by MoSCoW</t>
  </si>
  <si>
    <t xml:space="preserve">Priority</t>
  </si>
  <si>
    <t xml:space="preserve">Items</t>
  </si>
  <si>
    <t xml:space="preserve">Share of MVP points</t>
  </si>
  <si>
    <t xml:space="preserve">Must</t>
  </si>
  <si>
    <t xml:space="preserve">MVP can't go live without it</t>
  </si>
  <si>
    <t xml:space="preserve">Should</t>
  </si>
  <si>
    <t xml:space="preserve">Important; a workaround exists</t>
  </si>
  <si>
    <t xml:space="preserve">Could</t>
  </si>
  <si>
    <t xml:space="preserve">Include only if capacity allows</t>
  </si>
  <si>
    <t xml:space="preserve">Won't (this release)</t>
  </si>
  <si>
    <t xml:space="preserve">Not in MVP</t>
  </si>
  <si>
    <t xml:space="preserve">Agreed out of MVP; held for Phase 2</t>
  </si>
  <si>
    <t xml:space="preserve">A high Must share leaves little room to absorb change without moving go-live. Schedule and effort contingency are tracked in the Change Log dashboard.</t>
  </si>
  <si>
    <t xml:space="preserve">Item ID</t>
  </si>
  <si>
    <t xml:space="preserve">Title</t>
  </si>
  <si>
    <t xml:space="preserve">Blocker</t>
  </si>
  <si>
    <t xml:space="preserve">Linked</t>
  </si>
  <si>
    <t xml:space="preserve">Merchant Payment Operations &amp; Dispute Hub · Simulation project · Ordered by epic; filter by Sprint or Status to plan</t>
  </si>
  <si>
    <t xml:space="preserve">Grey columns calculate automatically. Edit white columns only; use dropdowns where provided.</t>
  </si>
  <si>
    <t xml:space="preserve">Type</t>
  </si>
  <si>
    <t xml:space="preserve">Epic Name</t>
  </si>
  <si>
    <t xml:space="preserve">User Story</t>
  </si>
  <si>
    <t xml:space="preserve">Acceptance Criteria (Given / When / Then)</t>
  </si>
  <si>
    <t xml:space="preserve">Persona</t>
  </si>
  <si>
    <t xml:space="preserve">Business Value (1-10)</t>
  </si>
  <si>
    <t xml:space="preserve">Story Points</t>
  </si>
  <si>
    <t xml:space="preserve">Value per Point</t>
  </si>
  <si>
    <t xml:space="preserve">DoR Fields Complete?</t>
  </si>
  <si>
    <t xml:space="preserve">Dependencies / Blockers</t>
  </si>
  <si>
    <t xml:space="preserve">Linked RAID / CR</t>
  </si>
  <si>
    <t xml:space="preserve">Compliance Tag</t>
  </si>
  <si>
    <t xml:space="preserve">Delivery Team</t>
  </si>
  <si>
    <t xml:space="preserve">Notes</t>
  </si>
  <si>
    <t xml:space="preserve">Last Updated</t>
  </si>
  <si>
    <t xml:space="preserve">Blocked helper</t>
  </si>
  <si>
    <t xml:space="preserve">US-001</t>
  </si>
  <si>
    <t xml:space="preserve">EP-01</t>
  </si>
  <si>
    <t xml:space="preserve">Sign in with company single sign-on</t>
  </si>
  <si>
    <t xml:space="preserve">As a merchant user, I want to sign in with my company's single sign-on, so that I don't need a separate password for the dispute portal.</t>
  </si>
  <si>
    <t xml:space="preserve">Given I have an active merchant account, when I sign in through my company's identity provider, then I land on the dispute inbox.
Given my account is disabled, when I try to sign in, then access is denied and the attempt is logged.
Given 15 minutes of inactivity, when I return, then I must sign in again.</t>
  </si>
  <si>
    <t xml:space="preserve">Merchant User</t>
  </si>
  <si>
    <t xml:space="preserve">MVP</t>
  </si>
  <si>
    <t xml:space="preserve">Sprint 1</t>
  </si>
  <si>
    <t xml:space="preserve">Done</t>
  </si>
  <si>
    <t xml:space="preserve">A-03</t>
  </si>
  <si>
    <t xml:space="preserve">Security</t>
  </si>
  <si>
    <t xml:space="preserve">Portal Squad</t>
  </si>
  <si>
    <t xml:space="preserve">US-002</t>
  </si>
  <si>
    <t xml:space="preserve">Assign roles to merchant users</t>
  </si>
  <si>
    <t xml:space="preserve">As a merchant admin, I want to assign Admin, Finance or Operations roles to my team, so that each person sees only what they need.</t>
  </si>
  <si>
    <t xml:space="preserve">Given I am a merchant admin, when I invite a user and choose a role, then the user receives an invitation with that role.
Given a user's role changes, when they next load a page, then their permissions reflect the new role.
Given I am not an admin, when I open user management, then the page is not available.</t>
  </si>
  <si>
    <t xml:space="preserve">Merchant Admin</t>
  </si>
  <si>
    <t xml:space="preserve">Sprint 6</t>
  </si>
  <si>
    <t xml:space="preserve">Refined</t>
  </si>
  <si>
    <t xml:space="preserve">Role configuration from IAM team (D-02), committed 30-Sep</t>
  </si>
  <si>
    <t xml:space="preserve">A-03, D-02</t>
  </si>
  <si>
    <t xml:space="preserve">US-003</t>
  </si>
  <si>
    <t xml:space="preserve">Restrict screens and actions by role</t>
  </si>
  <si>
    <t xml:space="preserve">As a merchant admin, I want actions such as submitting evidence limited to the right roles, so that finance-only users can't submit responses by mistake.</t>
  </si>
  <si>
    <t xml:space="preserve">Given I have the Finance role, when I view a dispute, then I can see details but the submit evidence action is hidden.
Given I have the Operations role, when I open settlement reports, then I see an access message instead of report data.</t>
  </si>
  <si>
    <t xml:space="preserve">Depends on US-002</t>
  </si>
  <si>
    <t xml:space="preserve">D-02</t>
  </si>
  <si>
    <t xml:space="preserve">US-004</t>
  </si>
  <si>
    <t xml:space="preserve">Audit history of evidence actions</t>
  </si>
  <si>
    <t xml:space="preserve">As a compliance officer, I want a record of who viewed, uploaded or submitted evidence, so that we can answer audit and dispute queries.</t>
  </si>
  <si>
    <t xml:space="preserve">Given any user uploads, deletes or submits evidence, when the action completes, then the user, time, dispute ID and action are recorded.
Given I am a compliance officer, when I search audit history by dispute ID, then I see all actions in time order.
Given audit records exist, when any user tries to edit them, then editing is not possible.</t>
  </si>
  <si>
    <t xml:space="preserve">Compliance Officer</t>
  </si>
  <si>
    <t xml:space="preserve">Sprint 7</t>
  </si>
  <si>
    <t xml:space="preserve">A-07</t>
  </si>
  <si>
    <t xml:space="preserve">Privacy</t>
  </si>
  <si>
    <t xml:space="preserve">US-005</t>
  </si>
  <si>
    <t xml:space="preserve">In-portal onboarding guide for pilot merchants</t>
  </si>
  <si>
    <t xml:space="preserve">As a new merchant admin, I want a short guide when I first sign in, so that my team can start handling disputes without training calls.</t>
  </si>
  <si>
    <t xml:space="preserve">Given I sign in for the first time, when the inbox loads, then a step-by-step guide covering the inbox, evidence upload and reminders is shown.
Given I close the guide, when I want it again, then I can reopen it from the help menu.
Given a user completes guide steps, when analytics are reviewed, then completion is tracked (US-034).</t>
  </si>
  <si>
    <t xml:space="preserve">Sprint 8</t>
  </si>
  <si>
    <t xml:space="preserve">New</t>
  </si>
  <si>
    <t xml:space="preserve">R-04, A-01</t>
  </si>
  <si>
    <t xml:space="preserve">None</t>
  </si>
  <si>
    <t xml:space="preserve">US-006</t>
  </si>
  <si>
    <t xml:space="preserve">EP-02</t>
  </si>
  <si>
    <t xml:space="preserve">View open disputes with due dates</t>
  </si>
  <si>
    <t xml:space="preserve">As a merchant operations user, I want to see all open disputes with their response due dates, so that I know what needs action first.</t>
  </si>
  <si>
    <t xml:space="preserve">Given my merchant has open disputes, when I open the inbox, then each dispute shows ID, amount, reason, status and due date.
Given there are more than 50 disputes, when I scroll, then results load in pages without losing sort order.
Given no disputes are open, when I open the inbox, then a clear empty-state message is shown.</t>
  </si>
  <si>
    <t xml:space="preserve">Merchant Operations User</t>
  </si>
  <si>
    <t xml:space="preserve">Sprint 2</t>
  </si>
  <si>
    <t xml:space="preserve">US-007</t>
  </si>
  <si>
    <t xml:space="preserve">Plain-language dispute reasons</t>
  </si>
  <si>
    <t xml:space="preserve">As a merchant operations user, I want each dispute reason shown in plain language, so that I understand what evidence is needed without looking up codes.</t>
  </si>
  <si>
    <t xml:space="preserve">Given a dispute has a network reason code, when I view it, then a plain-language description and suggested evidence types are shown.
Given a code has no description, when I view it, then the raw code is shown with a 'description pending' label.</t>
  </si>
  <si>
    <t xml:space="preserve">I-02</t>
  </si>
  <si>
    <t xml:space="preserve">Network Rules</t>
  </si>
  <si>
    <t xml:space="preserve">US-008</t>
  </si>
  <si>
    <t xml:space="preserve">Filter and sort disputes</t>
  </si>
  <si>
    <t xml:space="preserve">As a merchant operations user, I want to filter and sort disputes by status, reason and due date, so that I can focus on the disputes that matter today.</t>
  </si>
  <si>
    <t xml:space="preserve">Given I am on the inbox, when I filter by status, reason or due date range, then only matching disputes are shown.
Given filters are applied, when I sort by due date, then disputes due soonest appear first.
Given I leave and return to the inbox, when the page loads, then my filters are kept for the session.</t>
  </si>
  <si>
    <t xml:space="preserve">Sprint 3</t>
  </si>
  <si>
    <t xml:space="preserve">US-009</t>
  </si>
  <si>
    <t xml:space="preserve">Dispute detail and timeline</t>
  </si>
  <si>
    <t xml:space="preserve">As a merchant operations user, I want a detail page showing the full dispute timeline, so that I can see what has happened and what's needed next.</t>
  </si>
  <si>
    <t xml:space="preserve">Given I open a dispute, when the page loads, then I see transaction details, reason, amount, due date and a dated timeline of status changes.
Given evidence was submitted, when I view the timeline, then the submission date and submitting user are shown.</t>
  </si>
  <si>
    <t xml:space="preserve">US-010</t>
  </si>
  <si>
    <t xml:space="preserve">Show when dispute data was last synced</t>
  </si>
  <si>
    <t xml:space="preserve">As a merchant operations user, I want to see when dispute data was last updated, so that I can trust the deadlines shown.</t>
  </si>
  <si>
    <t xml:space="preserve">Given dispute data has been refreshed, when I view the inbox or a dispute, then a 'last synced' date and time is shown in my time zone.
Given the last sync was more than 2 hours ago, when I view the inbox, then the timestamp is highlighted with a warning.</t>
  </si>
  <si>
    <t xml:space="preserve">Sprint 4</t>
  </si>
  <si>
    <t xml:space="preserve">CR-07, R-03</t>
  </si>
  <si>
    <t xml:space="preserve">Added via CR-07; US-017 moved to Sprint 8 to make room.</t>
  </si>
  <si>
    <t xml:space="preserve">US-011</t>
  </si>
  <si>
    <t xml:space="preserve">Highlight disputes near deadline</t>
  </si>
  <si>
    <t xml:space="preserve">As a merchant operations user, I want disputes close to their deadline highlighted, so that I don't miss a response window.</t>
  </si>
  <si>
    <t xml:space="preserve">Given a dispute is due within 5 days, when I view the inbox, then it shows days remaining in amber.
Given a dispute is due within 2 days, when I view the inbox, then it shows in red at the top of the default sort.
Given a deadline has passed without a response, when I view the dispute, then it is marked 'Deadline passed'.</t>
  </si>
  <si>
    <t xml:space="preserve">In Progress</t>
  </si>
  <si>
    <t xml:space="preserve">Relies on accurate statuses from US-019 and US-020</t>
  </si>
  <si>
    <t xml:space="preserve">R-03</t>
  </si>
  <si>
    <t xml:space="preserve">US-012</t>
  </si>
  <si>
    <t xml:space="preserve">EP-03</t>
  </si>
  <si>
    <t xml:space="preserve">Upload evidence files to a dispute</t>
  </si>
  <si>
    <t xml:space="preserve">As a merchant operations user, I want to upload receipts, invoices and delivery proof to a dispute, so that I can respond without emailing documents.</t>
  </si>
  <si>
    <t xml:space="preserve">Given I open a dispute that needs evidence, when I upload PDF, JPG or PNG files up to 10 MB each, then the files are attached and listed with name, size and upload time.
Given I upload an unsupported file type or a file over the limit, when the upload runs, then I see a clear error and nothing is stored.
Given the deadline has passed, when I open the dispute, then upload is disabled with an explanation.</t>
  </si>
  <si>
    <t xml:space="preserve">Sprint 5</t>
  </si>
  <si>
    <t xml:space="preserve">Screen designs awaiting merchant ops sign-off (I-03); storage vendor assessment (R-08)</t>
  </si>
  <si>
    <t xml:space="preserve">I-03, R-08</t>
  </si>
  <si>
    <t xml:space="preserve">PCI DSS</t>
  </si>
  <si>
    <t xml:space="preserve">US-013</t>
  </si>
  <si>
    <t xml:space="preserve">Detect and redact card numbers in evidence</t>
  </si>
  <si>
    <t xml:space="preserve">As a compliance officer, I want card numbers in uploaded evidence detected and masked automatically, so that evidence storage stays out of PCI DSS scope.</t>
  </si>
  <si>
    <t xml:space="preserve">Given an uploaded file contains a full card number, when it is processed, then all but the last four digits are masked before the file is stored.
Given redaction is applied, when a user opens the file, then only the redacted version is available.
Given the agreed test set, when InfoSec validates the service, then detection accuracy meets the agreed threshold before UAT sign-off.</t>
  </si>
  <si>
    <t xml:space="preserve">Ready</t>
  </si>
  <si>
    <t xml:space="preserve">CR-03, R-02, D-03</t>
  </si>
  <si>
    <t xml:space="preserve">Integration Squad</t>
  </si>
  <si>
    <t xml:space="preserve">Approved with conditions via CR-03; InfoSec validation required before UAT sign-off.</t>
  </si>
  <si>
    <t xml:space="preserve">US-014</t>
  </si>
  <si>
    <t xml:space="preserve">Quarantine files that can't be redacted</t>
  </si>
  <si>
    <t xml:space="preserve">As a merchant operations user, I want to be told if a file couldn't be checked safely, so that I can resubmit a clean version before the deadline.</t>
  </si>
  <si>
    <t xml:space="preserve">Given a file can't be processed by the redaction service, when the check fails, then the file is quarantined and not attached to the dispute.
Given a file is quarantined, when processing ends, then I receive an in-portal message and email explaining how to resubmit.
Given a file is quarantined, when the retention period ends, then it is deleted in line with the retention policy (A-07).</t>
  </si>
  <si>
    <t xml:space="preserve">Retention policy confirmation (A-07)</t>
  </si>
  <si>
    <t xml:space="preserve">CR-03, R-02, A-07</t>
  </si>
  <si>
    <t xml:space="preserve">US-015</t>
  </si>
  <si>
    <t xml:space="preserve">Submit evidence package to processor</t>
  </si>
  <si>
    <t xml:space="preserve">As a merchant operations user, I want to submit my evidence and response to the processor in one step, so that the dispute is contested before the deadline.</t>
  </si>
  <si>
    <t xml:space="preserve">Given evidence is attached and a response note is added, when I select Submit, then the package is sent to the processor and the status changes to 'Evidence submitted'.
Given the processor rejects the submission, when the error returns, then I see the reason and can correct and resubmit.
Given a package has been submitted, when I view the dispute, then attachments become read-only.</t>
  </si>
  <si>
    <t xml:space="preserve">Processor production access (D-01)</t>
  </si>
  <si>
    <t xml:space="preserve">D-01, R-03</t>
  </si>
  <si>
    <t xml:space="preserve">US-016</t>
  </si>
  <si>
    <t xml:space="preserve">Accept a dispute without contesting</t>
  </si>
  <si>
    <t xml:space="preserve">As a merchant operations user, I want to accept a dispute I don't intend to contest, so that it is closed quickly and removed from my inbox.</t>
  </si>
  <si>
    <t xml:space="preserve">Given I open an open dispute, when I choose Accept and confirm, then the acceptance is sent to the processor and the status changes to 'Accepted'.
Given I select Accept, when the confirmation appears, then it states that the dispute amount won't be recovered.</t>
  </si>
  <si>
    <t xml:space="preserve">US-017</t>
  </si>
  <si>
    <t xml:space="preserve">Save evidence response as draft</t>
  </si>
  <si>
    <t xml:space="preserve">As a merchant operations user, I want to save a partly completed response, so that I can gather more documents before submitting.</t>
  </si>
  <si>
    <t xml:space="preserve">Given I have attached files and a note, when I select Save draft, then my progress is kept without submitting.
Given a draft exists, when I reopen the dispute, then the draft is restored.</t>
  </si>
  <si>
    <t xml:space="preserve">CR-07</t>
  </si>
  <si>
    <t xml:space="preserve">Moved from Sprint 4 to Sprint 8 to make room for US-010 (CR-07).</t>
  </si>
  <si>
    <t xml:space="preserve">US-018</t>
  </si>
  <si>
    <t xml:space="preserve">EP-04</t>
  </si>
  <si>
    <t xml:space="preserve">Ingest new disputes from processor</t>
  </si>
  <si>
    <t xml:space="preserve">As a dispute operations analyst, I want new disputes loaded from the processor automatically, so that merchants and ops see them without manual entry.</t>
  </si>
  <si>
    <t xml:space="preserve">Given the processor has new disputes, when scheduled ingestion runs, then each dispute is created once with all mandatory fields.
Given a dispute already exists, when it is received again, then no duplicate is created.
Given a record fails validation, when ingestion runs, then it goes to an error queue with the reason logged.</t>
  </si>
  <si>
    <t xml:space="preserve">Dispute Ops Analyst</t>
  </si>
  <si>
    <t xml:space="preserve">A-02</t>
  </si>
  <si>
    <t xml:space="preserve">US-019</t>
  </si>
  <si>
    <t xml:space="preserve">Receive status updates via webhooks</t>
  </si>
  <si>
    <t xml:space="preserve">As a dispute operations analyst, I want dispute status changes received in near real time, so that deadlines and statuses shown to merchants are current.</t>
  </si>
  <si>
    <t xml:space="preserve">Given the processor sends a status webhook, when it is received, then the dispute status and due date update within 5 minutes.
Given a webhook fails signature validation, when it is received, then it is rejected and logged.
Given webhooks stop arriving, when the fallback runs, then statuses are refreshed by polling.</t>
  </si>
  <si>
    <t xml:space="preserve">Blocked</t>
  </si>
  <si>
    <t xml:space="preserve">Sandbox returns inconsistent status values (I-01)</t>
  </si>
  <si>
    <t xml:space="preserve">I-01, A-02</t>
  </si>
  <si>
    <t xml:space="preserve">US-020</t>
  </si>
  <si>
    <t xml:space="preserve">Normalize processor status values</t>
  </si>
  <si>
    <t xml:space="preserve">As a dispute operations analyst, I want processor status values mapped to one set of internal statuses, so that reporting and merchant views are consistent.</t>
  </si>
  <si>
    <t xml:space="preserve">Given the processor sends any known variant of a status (for example UNDER_REVIEW or IN_REVIEW), when it is processed, then it maps to one internal status.
Given an unknown status value arrives, when it is processed, then the dispute keeps its last status and an alert is raised.</t>
  </si>
  <si>
    <t xml:space="preserve">In Review</t>
  </si>
  <si>
    <t xml:space="preserve">I-01</t>
  </si>
  <si>
    <t xml:space="preserve">US-021</t>
  </si>
  <si>
    <t xml:space="preserve">Configurable reason codes and response windows</t>
  </si>
  <si>
    <t xml:space="preserve">As a dispute operations lead, I want reason codes and response windows held as reference data, so that card network rule changes don't need a code release.</t>
  </si>
  <si>
    <t xml:space="preserve">Given a reason code or response window changes, when the reference data is updated and released, then new disputes use the updated values without code changes.
Given reference data is changed, when the update is applied, then previous values, change date and approver are kept.</t>
  </si>
  <si>
    <t xml:space="preserve">Dispute Ops Lead</t>
  </si>
  <si>
    <t xml:space="preserve">CR-02, R-01</t>
  </si>
  <si>
    <t xml:space="preserve">Approved via CR-02 (Option B).</t>
  </si>
  <si>
    <t xml:space="preserve">US-022</t>
  </si>
  <si>
    <t xml:space="preserve">Route unmapped reason codes to manual review</t>
  </si>
  <si>
    <t xml:space="preserve">As a dispute operations analyst, I want disputes with unmapped reason codes sent to a review queue, so that none are missed while mappings are completed.</t>
  </si>
  <si>
    <t xml:space="preserve">Given a dispute arrives with a reason code that has no internal mapping, when it is ingested, then it is placed in the manual review queue with a flag.
Given I map the code in reference data, when the next ingestion runs, then queued disputes with that code are re-categorized.</t>
  </si>
  <si>
    <t xml:space="preserve">CR-02, I-02</t>
  </si>
  <si>
    <t xml:space="preserve">Completes the 13 points approved in CR-02 with US-021.</t>
  </si>
  <si>
    <t xml:space="preserve">US-023</t>
  </si>
  <si>
    <t xml:space="preserve">Alert when processor feed stops updating</t>
  </si>
  <si>
    <t xml:space="preserve">As a dispute operations lead, I want an alert when the processor feed stops updating, so that my team can act before merchants miss deadlines.</t>
  </si>
  <si>
    <t xml:space="preserve">Given no dispute updates are received for 2 hours during business hours, when monitoring runs, then an alert is sent to the ops on-call channel.
Given the feed recovers, when updates resume, then a recovery message is sent and the alert closes.</t>
  </si>
  <si>
    <t xml:space="preserve">US-024</t>
  </si>
  <si>
    <t xml:space="preserve">Dispute status API for servicing console</t>
  </si>
  <si>
    <t xml:space="preserve">As a servicing agent, I want to see a merchant's dispute status in my agent console, so that I can answer calls without transferring to dispute ops.</t>
  </si>
  <si>
    <t xml:space="preserve">Given an authorized agent searches by merchant ID or dispute ID, when the API is called, then status, due date and last update are returned within 2 seconds.
Given the caller isn't authorized, when the API is called, then access is denied and logged.</t>
  </si>
  <si>
    <t xml:space="preserve">Servicing Agent</t>
  </si>
  <si>
    <t xml:space="preserve">D-06</t>
  </si>
  <si>
    <t xml:space="preserve">US-025</t>
  </si>
  <si>
    <t xml:space="preserve">EP-05</t>
  </si>
  <si>
    <t xml:space="preserve">Email reminders before dispute deadlines</t>
  </si>
  <si>
    <t xml:space="preserve">As a merchant operations user, I want email reminders before a dispute deadline, so that I respond in time even when I'm not in the portal.</t>
  </si>
  <si>
    <t xml:space="preserve">Given a dispute has no evidence submitted, when it is 5 days and again 2 days before the due date, then users with the Operations role receive a reminder email.
Given evidence is submitted, when the next reminder is due, then no reminder is sent.
Given a user opts out of reminders, when reminders run, then that user is skipped and the opt-out is recorded.</t>
  </si>
  <si>
    <t xml:space="preserve">US-026</t>
  </si>
  <si>
    <t xml:space="preserve">Notify merchants of dispute outcomes</t>
  </si>
  <si>
    <t xml:space="preserve">As a merchant finance user, I want to be notified when a dispute reaches a final outcome, so that I can reconcile expected funds.</t>
  </si>
  <si>
    <t xml:space="preserve">Given a dispute reaches a final outcome, when the status updates, then Finance and Admin users receive an in-portal notification and email.
Given a user turns off outcome emails, when an outcome occurs, then only the in-portal notification is shown.</t>
  </si>
  <si>
    <t xml:space="preserve">Merchant Finance User</t>
  </si>
  <si>
    <t xml:space="preserve">Outcome categories depend on CR-05 decision</t>
  </si>
  <si>
    <t xml:space="preserve">CR-05</t>
  </si>
  <si>
    <t xml:space="preserve">US-027</t>
  </si>
  <si>
    <t xml:space="preserve">SMS reminders for dispute deadlines</t>
  </si>
  <si>
    <t xml:space="preserve">As a merchant operations user, I want SMS reminders before deadlines, so that I see urgent reminders on my phone.</t>
  </si>
  <si>
    <t xml:space="preserve">TBD</t>
  </si>
  <si>
    <t xml:space="preserve">Backlog</t>
  </si>
  <si>
    <t xml:space="preserve">Awaiting CR-09 impact assessment (SMS vendor and consent review)</t>
  </si>
  <si>
    <t xml:space="preserve">CR-09, R-03</t>
  </si>
  <si>
    <t xml:space="preserve">Acceptance criteria and estimate to follow CR-09 assessment.</t>
  </si>
  <si>
    <t xml:space="preserve">US-028</t>
  </si>
  <si>
    <t xml:space="preserve">EP-06</t>
  </si>
  <si>
    <t xml:space="preserve">Settlement summary by payout date</t>
  </si>
  <si>
    <t xml:space="preserve">As a merchant finance user, I want a summary of settlements by payout date, so that I can match payouts to my bank statement.</t>
  </si>
  <si>
    <t xml:space="preserve">Given settlement data is loaded, when I select a date range, then I see payout date, gross sales, fees, chargeback debits and net payout.
Given data for a day failed quality checks, when I view that day, then it is labelled provisional.</t>
  </si>
  <si>
    <t xml:space="preserve">Settlement data pipeline (D-04)</t>
  </si>
  <si>
    <t xml:space="preserve">D-04, R-05</t>
  </si>
  <si>
    <t xml:space="preserve">Data Squad</t>
  </si>
  <si>
    <t xml:space="preserve">US-029</t>
  </si>
  <si>
    <t xml:space="preserve">Chargeback debits and reversals on settlements</t>
  </si>
  <si>
    <t xml:space="preserve">As a merchant finance user, I want to see which settlements included chargeback debits or reversals, so that I understand why a payout changed.</t>
  </si>
  <si>
    <t xml:space="preserve">Given a payout included a chargeback debit, when I open the settlement, then each related dispute is listed with amount and a link to the dispute.
Given a dispute was won after a debit, when the reversal is settled, then it appears against the later payout and links to the original debit.</t>
  </si>
  <si>
    <t xml:space="preserve">D-04</t>
  </si>
  <si>
    <t xml:space="preserve">US-030</t>
  </si>
  <si>
    <t xml:space="preserve">Export disputes and settlements to CSV</t>
  </si>
  <si>
    <t xml:space="preserve">As a merchant finance user, I want to export disputes and settlements to CSV, so that I can reconcile them in my own finance tools.</t>
  </si>
  <si>
    <t xml:space="preserve">Given I have applied filters, when I select Export, then a CSV with the filtered rows and visible columns downloads.
Given an export has more than 10,000 rows, when I request it, then I am notified in the portal when the file is ready.
Given any export, when the file is created, then no full card numbers are included.</t>
  </si>
  <si>
    <t xml:space="preserve">CR-08</t>
  </si>
  <si>
    <t xml:space="preserve">Meets the need raised in CR-08 (nightly email file rejected).</t>
  </si>
  <si>
    <t xml:space="preserve">US-031</t>
  </si>
  <si>
    <t xml:space="preserve">EP-07</t>
  </si>
  <si>
    <t xml:space="preserve">Dispute operations dashboard in Power BI</t>
  </si>
  <si>
    <t xml:space="preserve">As a dispute operations lead, I want a dashboard of dispute volume, ageing and deadline performance, so that I can plan staffing and spot backlogs early.</t>
  </si>
  <si>
    <t xml:space="preserve">Given dispute data refreshes daily, when I open the dashboard, then I see open volume by status, ageing bands and disputes due in the next 5 days.
Given I filter by merchant segment or reason, when filters apply, then all visuals update consistently.</t>
  </si>
  <si>
    <t xml:space="preserve">US-032</t>
  </si>
  <si>
    <t xml:space="preserve">Report dispute outcomes and win rate</t>
  </si>
  <si>
    <t xml:space="preserve">As a finance analyst, I want dispute outcomes and win rate reported consistently, so that finance and ops use the same numbers.</t>
  </si>
  <si>
    <t xml:space="preserve">Given the outcome definitions agreed in CR-05, when outcomes are reported, then each closed dispute is counted in exactly one outcome category.
Given a reporting period, when I view win rate, then the formula and definitions are shown in the report's data dictionary.</t>
  </si>
  <si>
    <t xml:space="preserve">Finance Analyst</t>
  </si>
  <si>
    <t xml:space="preserve">Outcome definition decision pending (CR-05, I-05); estimate may change</t>
  </si>
  <si>
    <t xml:space="preserve">CR-05, I-05</t>
  </si>
  <si>
    <t xml:space="preserve">US-033</t>
  </si>
  <si>
    <t xml:space="preserve">Settlement data quality exception report</t>
  </si>
  <si>
    <t xml:space="preserve">As a finance analyst, I want an exception report of settlement records that fail data quality checks, so that bad data is fixed before it reaches merchant reports.</t>
  </si>
  <si>
    <t xml:space="preserve">Given the daily load completes, when quality rules run, then records with missing merchant IDs, duplicates or unmatched amounts are listed with the rule that failed.
Given the sample-month reconciliation, when compared with the finance ledger, then variance is within 0.5% before report sign-off.</t>
  </si>
  <si>
    <t xml:space="preserve">R-05, D-04</t>
  </si>
  <si>
    <t xml:space="preserve">US-034</t>
  </si>
  <si>
    <t xml:space="preserve">Track portal usage in Amplitude</t>
  </si>
  <si>
    <t xml:space="preserve">As a product owner, I want key portal actions tracked in Amplitude, so that I can measure pilot adoption and find drop-off points.</t>
  </si>
  <si>
    <t xml:space="preserve">Given the approved tracking plan, when a user signs in, views a dispute, uploads evidence or submits a response, then the matching event is recorded with agreed properties.
Given any tracked event, when it is sent, then no personal or card data is included.</t>
  </si>
  <si>
    <t xml:space="preserve">Product Owner</t>
  </si>
  <si>
    <t xml:space="preserve">Tracking plan awaiting data governance approval (I-06)</t>
  </si>
  <si>
    <t xml:space="preserve">I-06, R-04</t>
  </si>
  <si>
    <t xml:space="preserve">US-035</t>
  </si>
  <si>
    <t xml:space="preserve">EP-08</t>
  </si>
  <si>
    <t xml:space="preserve">Ops work queue</t>
  </si>
  <si>
    <t xml:space="preserve">As a dispute operations analyst, I want a queue of disputes that need ops action, so that I can work them in priority order.</t>
  </si>
  <si>
    <t xml:space="preserve">Given disputes need ops action (for example failed submissions or manual review), when I open the queue, then they are listed by due date with the reason they need action.
Given I pick up a dispute, when I assign it to myself, then other analysts see it as assigned.</t>
  </si>
  <si>
    <t xml:space="preserve">US-036</t>
  </si>
  <si>
    <t xml:space="preserve">Show linked fraud case reference</t>
  </si>
  <si>
    <t xml:space="preserve">As a dispute operations analyst, I want to see a linked fraud case reference on a dispute, so that I know fraud is already investigating it.</t>
  </si>
  <si>
    <t xml:space="preserve">Given a dispute is linked to a fraud case, when I open the dispute, then the fraud case ID and status are shown as read-only.
Given the fraud service is unavailable, when I open the dispute, then the dispute still loads with a 'fraud link unavailable' message.</t>
  </si>
  <si>
    <t xml:space="preserve">CR-01 decision (due 25-Sep); fraud case-ID service (D-07)</t>
  </si>
  <si>
    <t xml:space="preserve">CR-01, D-07</t>
  </si>
  <si>
    <t xml:space="preserve">Enters MVP only if CR-01 Option C is approved.</t>
  </si>
  <si>
    <t xml:space="preserve">US-037</t>
  </si>
  <si>
    <t xml:space="preserve">EP-09</t>
  </si>
  <si>
    <t xml:space="preserve">Set up environments and CI/CD pipeline</t>
  </si>
  <si>
    <t xml:space="preserve">In order to release safely and often, the delivery team needs dev, test and UAT environments with an automated build and deployment pipeline.</t>
  </si>
  <si>
    <t xml:space="preserve">Given code is merged to the main branch, when the pipeline runs, then automated tests run and the build deploys to the test environment.
Given a deployment fails, when the pipeline stops, then the team is notified and the previous version stays in place.</t>
  </si>
  <si>
    <t xml:space="preserve">US-038</t>
  </si>
  <si>
    <t xml:space="preserve">Spike: confirm processor dispute API capabilities</t>
  </si>
  <si>
    <t xml:space="preserve">In order to size integration stories, the delivery team needs to confirm what the processor dispute API supports.</t>
  </si>
  <si>
    <t xml:space="preserve">Given two days of investigation, when the spike ends, then findings on endpoints, webhooks, rate limits and sandbox gaps are documented and integration stories are re-estimated.</t>
  </si>
  <si>
    <t xml:space="preserve">Time-boxed to 2 days.</t>
  </si>
  <si>
    <t xml:space="preserve">US-039</t>
  </si>
  <si>
    <t xml:space="preserve">Spike: card-number detection options</t>
  </si>
  <si>
    <t xml:space="preserve">In order to assess CR-03, the delivery team needs to compare automated card-number detection approaches.</t>
  </si>
  <si>
    <t xml:space="preserve">Given the spike ends, when findings are shared, then at least two options are compared on accuracy, cost and processing time with a recommendation.</t>
  </si>
  <si>
    <t xml:space="preserve">CR-03, R-02</t>
  </si>
  <si>
    <t xml:space="preserve">Time-boxed to 2 days; findings informed CR-03 options.</t>
  </si>
  <si>
    <t xml:space="preserve">US-040</t>
  </si>
  <si>
    <t xml:space="preserve">Agree data model for disputes, evidence and settlements</t>
  </si>
  <si>
    <t xml:space="preserve">In order to build inbox and ops features on a stable base, the delivery team needs an agreed data model for disputes, evidence and settlements.</t>
  </si>
  <si>
    <t xml:space="preserve">Given the data model is reviewed with the Tech Lead and Data Engineering, when it is approved, then it is published in Confluence and applied to the dev database.</t>
  </si>
  <si>
    <t xml:space="preserve">US-041</t>
  </si>
  <si>
    <t xml:space="preserve">Encrypt evidence files at rest and in transit</t>
  </si>
  <si>
    <t xml:space="preserve">As a compliance officer, I want evidence files encrypted in storage and in transit, so that merchant and cardholder information is protected.</t>
  </si>
  <si>
    <t xml:space="preserve">Given a file is uploaded, when it is stored, then it is encrypted at rest using the approved key management service.
Given a file moves between services or to the processor, when it is transferred, then TLS 1.2 or higher is used.</t>
  </si>
  <si>
    <t xml:space="preserve">R-02, R-08</t>
  </si>
  <si>
    <t xml:space="preserve">US-042</t>
  </si>
  <si>
    <t xml:space="preserve">Accessibility audit and remediation (WCAG 2.1 AA)</t>
  </si>
  <si>
    <t xml:space="preserve">As a merchant user who relies on assistive technology, I want the portal to work with a keyboard and screen reader, so that I can manage disputes without help.</t>
  </si>
  <si>
    <t xml:space="preserve">Given the MVP screens, when automated and manual accessibility audits run, then no critical or serious WCAG 2.1 AA issues remain.
Given I use only a keyboard, when I complete the upload and submit flow, then every step can be reached and completed.</t>
  </si>
  <si>
    <t xml:space="preserve">R-10</t>
  </si>
  <si>
    <t xml:space="preserve">Accessibility</t>
  </si>
  <si>
    <t xml:space="preserve">Accessibility checks are also part of the Definition of Done for every UI story.</t>
  </si>
  <si>
    <t xml:space="preserve">US-043</t>
  </si>
  <si>
    <t xml:space="preserve">Load test at peak chargeback volume</t>
  </si>
  <si>
    <t xml:space="preserve">As a dispute operations lead, I want the portal tested at peak chargeback volume, so that merchants aren't slowed down after the holiday season.</t>
  </si>
  <si>
    <t xml:space="preserve">Given a load test at 3x forecast peak volume, when it runs for 60 minutes, then 95th percentile API response stays under 2 seconds.
Given the test results, when they are reviewed, then any missed target has a fix or an accepted-risk decision before go-live.</t>
  </si>
  <si>
    <t xml:space="preserve">R-09</t>
  </si>
  <si>
    <t xml:space="preserve">US-044</t>
  </si>
  <si>
    <t xml:space="preserve">Fix penetration test findings before go-live</t>
  </si>
  <si>
    <t xml:space="preserve">As a compliance officer, I want critical and high penetration test findings fixed before go-live, so that the portal meets security sign-off.</t>
  </si>
  <si>
    <t xml:space="preserve">Given the penetration test report, when findings are triaged, then all critical and high findings are fixed and retested before go-live.
Given a medium or low finding isn't fixed, when go-live is approved, then it has an owner, due date and risk acceptance.</t>
  </si>
  <si>
    <t xml:space="preserve">Sprint 9</t>
  </si>
  <si>
    <t xml:space="preserve">Pen test date (D-03); UAT approach pending CR-06</t>
  </si>
  <si>
    <t xml:space="preserve">D-03, CR-06</t>
  </si>
  <si>
    <t xml:space="preserve">US-045</t>
  </si>
  <si>
    <t xml:space="preserve">Manage fraud cases from within the hub</t>
  </si>
  <si>
    <t xml:space="preserve">As a dispute operations analyst, I want to manage linked fraud cases without leaving the hub, so that I can resolve related disputes and fraud cases together.</t>
  </si>
  <si>
    <t xml:space="preserve">Phase 2</t>
  </si>
  <si>
    <t xml:space="preserve">Fraud case-ID service (D-07)</t>
  </si>
  <si>
    <t xml:space="preserve">Rough estimate; re-estimate at Phase 2 planning.</t>
  </si>
  <si>
    <t xml:space="preserve">US-046</t>
  </si>
  <si>
    <t xml:space="preserve">Spanish language portal</t>
  </si>
  <si>
    <t xml:space="preserve">As a Spanish-speaking merchant user, I want the portal in Spanish, so that I can manage disputes in my preferred language.</t>
  </si>
  <si>
    <t xml:space="preserve">Deferred</t>
  </si>
  <si>
    <t xml:space="preserve">CR-04, A-04</t>
  </si>
  <si>
    <t xml:space="preserve">Deferred via CR-04; Spanish PDF guide provided for pilot merchants.</t>
  </si>
  <si>
    <t xml:space="preserve">US-047</t>
  </si>
  <si>
    <t xml:space="preserve">Admin screen to edit reason codes</t>
  </si>
  <si>
    <t xml:space="preserve">As a dispute operations lead, I want to edit reason codes and response windows through an admin screen, so that rule updates don't need engineering support.</t>
  </si>
  <si>
    <t xml:space="preserve">CR-02</t>
  </si>
  <si>
    <t xml:space="preserve">Option C from CR-02, proposed for Phase 2.</t>
  </si>
  <si>
    <t xml:space="preserve">Epics</t>
  </si>
  <si>
    <t xml:space="preserve">Merchant Payment Operations &amp; Dispute Hub · Simulation project · Progress calculated from the Product Backlog</t>
  </si>
  <si>
    <t xml:space="preserve">Goal / Outcome</t>
  </si>
  <si>
    <t xml:space="preserve">Success Measure</t>
  </si>
  <si>
    <t xml:space="preserve">Business Owner</t>
  </si>
  <si>
    <t xml:space="preserve">Target Release</t>
  </si>
  <si>
    <t xml:space="preserve">MVP Items</t>
  </si>
  <si>
    <t xml:space="preserve">MVP Points</t>
  </si>
  <si>
    <t xml:space="preserve">MVP Points Done</t>
  </si>
  <si>
    <t xml:space="preserve">% Complete</t>
  </si>
  <si>
    <t xml:space="preserve">Phase 2 / TBD Items</t>
  </si>
  <si>
    <t xml:space="preserve">Epic Status</t>
  </si>
  <si>
    <t xml:space="preserve">Merchant Access &amp; Onboarding</t>
  </si>
  <si>
    <t xml:space="preserve">Merchants sign in securely, get the right access for their role and start using the portal without training calls.</t>
  </si>
  <si>
    <t xml:space="preserve">Pilot activation rate of at least 60% within 4 weeks</t>
  </si>
  <si>
    <t xml:space="preserve">R-04, A-03, D-02</t>
  </si>
  <si>
    <t xml:space="preserve">Dispute Inbox &amp; Tracking</t>
  </si>
  <si>
    <t xml:space="preserve">Merchants see every open dispute, its status and deadline in one place.</t>
  </si>
  <si>
    <t xml:space="preserve">Share of disputes opened in the portal before their deadline</t>
  </si>
  <si>
    <t xml:space="preserve">Evidence Submission</t>
  </si>
  <si>
    <t xml:space="preserve">Merchants respond to disputes with evidence through the portal instead of email, without exposing card data.</t>
  </si>
  <si>
    <t xml:space="preserve">Share of evidence submitted through the portal</t>
  </si>
  <si>
    <t xml:space="preserve">R-02, CR-03, A-01</t>
  </si>
  <si>
    <t xml:space="preserve">Processor Integration</t>
  </si>
  <si>
    <t xml:space="preserve">Dispute data and statuses flow reliably between the processor and the hub.</t>
  </si>
  <si>
    <t xml:space="preserve">Status update latency under 5 minutes; no missed deadlines caused by sync failures</t>
  </si>
  <si>
    <t xml:space="preserve">Tech Lead</t>
  </si>
  <si>
    <t xml:space="preserve">I-01, A-02, D-01, CR-02</t>
  </si>
  <si>
    <t xml:space="preserve">Notifications &amp; Reminders</t>
  </si>
  <si>
    <t xml:space="preserve">Merchants are reminded before deadlines and told about outcomes.</t>
  </si>
  <si>
    <t xml:space="preserve">Rate of disputes lost due to missed deadlines</t>
  </si>
  <si>
    <t xml:space="preserve">Not Started</t>
  </si>
  <si>
    <t xml:space="preserve">R-03, CR-09</t>
  </si>
  <si>
    <t xml:space="preserve">Settlement Visibility</t>
  </si>
  <si>
    <t xml:space="preserve">Merchants understand their payouts, including chargeback debits and reversals.</t>
  </si>
  <si>
    <t xml:space="preserve">Reduction in settlement-related support contacts</t>
  </si>
  <si>
    <t xml:space="preserve">Finance Lead</t>
  </si>
  <si>
    <t xml:space="preserve">Reporting &amp; Analytics</t>
  </si>
  <si>
    <t xml:space="preserve">Ops, finance and product teams work from consistent, trusted numbers.</t>
  </si>
  <si>
    <t xml:space="preserve">Reconciliation variance within 0.5%; weekly dashboard use by ops and finance</t>
  </si>
  <si>
    <t xml:space="preserve">I-05, I-06, CR-05</t>
  </si>
  <si>
    <t xml:space="preserve">Internal Ops Workbench</t>
  </si>
  <si>
    <t xml:space="preserve">Dispute ops work disputes in priority order with full context.</t>
  </si>
  <si>
    <t xml:space="preserve">Average handling time per dispute</t>
  </si>
  <si>
    <t xml:space="preserve">Platform Quality &amp; Compliance</t>
  </si>
  <si>
    <t xml:space="preserve">The platform is secure, accessible, performant and ready for go-live sign-off.</t>
  </si>
  <si>
    <t xml:space="preserve">Security, accessibility and performance sign-offs complete before go-live</t>
  </si>
  <si>
    <t xml:space="preserve">R-09, R-10, D-03</t>
  </si>
  <si>
    <t xml:space="preserve">Total (MVP)</t>
  </si>
  <si>
    <t xml:space="preserve">Sprint Plan</t>
  </si>
  <si>
    <t xml:space="preserve">Merchant Payment Operations &amp; Dispute Hub · Simulation project · Two-week sprints; planned and completed points come from the Product Backlog</t>
  </si>
  <si>
    <t xml:space="preserve">Yellow capacity cells are editable settings (illustrative). Grey columns calculate automatically.</t>
  </si>
  <si>
    <t xml:space="preserve">Start</t>
  </si>
  <si>
    <t xml:space="preserve">End</t>
  </si>
  <si>
    <t xml:space="preserve">Sprint Goal</t>
  </si>
  <si>
    <t xml:space="preserve">Capacity (pts)</t>
  </si>
  <si>
    <t xml:space="preserve">Planned (pts)</t>
  </si>
  <si>
    <t xml:space="preserve">Capacity Remaining</t>
  </si>
  <si>
    <t xml:space="preserve">Completed (pts)</t>
  </si>
  <si>
    <t xml:space="preserve">Completion %</t>
  </si>
  <si>
    <t xml:space="preserve">Items Planned</t>
  </si>
  <si>
    <t xml:space="preserve">Blocked Items</t>
  </si>
  <si>
    <t xml:space="preserve">Sprint Status</t>
  </si>
  <si>
    <t xml:space="preserve">Set up delivery foundations, SSO sign-in and dispute ingestion</t>
  </si>
  <si>
    <t xml:space="preserve">Reduced capacity while the team ramped up.</t>
  </si>
  <si>
    <t xml:space="preserve">Merchants can view open disputes; ops can work a queue</t>
  </si>
  <si>
    <t xml:space="preserve">Dispute detail, filtering and accepting disputes</t>
  </si>
  <si>
    <t xml:space="preserve">New vendor engineers lost onboarding time to access delays (I-07).</t>
  </si>
  <si>
    <t xml:space="preserve">Reliable status tracking and configurable reason codes</t>
  </si>
  <si>
    <t xml:space="preserve">US-010 added via CR-07; US-017 moved to Sprint 8. US-019 blocked by I-01.</t>
  </si>
  <si>
    <t xml:space="preserve">Evidence upload with card-number redaction</t>
  </si>
  <si>
    <t xml:space="preserve">Planned</t>
  </si>
  <si>
    <t xml:space="preserve">US-012 needs design sign-off (I-03) before sprint planning.</t>
  </si>
  <si>
    <t xml:space="preserve">End-to-end evidence submission, merchant roles and reminders</t>
  </si>
  <si>
    <t xml:space="preserve">Settlement visibility and ops reporting</t>
  </si>
  <si>
    <t xml:space="preserve">Onboarding, servicing API, accessibility and load testing</t>
  </si>
  <si>
    <t xml:space="preserve">Security remediation and UAT support</t>
  </si>
  <si>
    <t xml:space="preserve">Remaining capacity held for UAT defects.</t>
  </si>
  <si>
    <t xml:space="preserve">Sprint 10</t>
  </si>
  <si>
    <t xml:space="preserve">UAT defect fixes and go-live readiness</t>
  </si>
  <si>
    <t xml:space="preserve">Capacity held for defects and hardening. Go-live 11-Dec-2026.</t>
  </si>
  <si>
    <t xml:space="preserve">Total</t>
  </si>
  <si>
    <t xml:space="preserve">Not in a sprint</t>
  </si>
  <si>
    <t xml:space="preserve">Points in Backlog (unplanned, including TBD items awaiting change decisions)</t>
  </si>
  <si>
    <t xml:space="preserve">Points in Phase 2 (rough estimates, not in MVP capacity)</t>
  </si>
  <si>
    <t xml:space="preserve">Go-live</t>
  </si>
  <si>
    <t xml:space="preserve">11-Dec-2026</t>
  </si>
  <si>
    <t xml:space="preserve">MVP go-live date (illustrative), one week after Sprint 10</t>
  </si>
</sst>
</file>

<file path=xl/styles.xml><?xml version="1.0" encoding="utf-8"?>
<styleSheet xmlns="http://schemas.openxmlformats.org/spreadsheetml/2006/main">
  <numFmts count="4">
    <numFmt numFmtId="164" formatCode="General"/>
    <numFmt numFmtId="165" formatCode="dd\-mmm\-yyyy"/>
    <numFmt numFmtId="166" formatCode="General"/>
    <numFmt numFmtId="167" formatCode="0%"/>
  </numFmts>
  <fonts count="24">
    <font>
      <sz val="11"/>
      <color theme="1"/>
      <name val="Calibri"/>
      <family val="2"/>
      <charset val="1"/>
    </font>
    <font>
      <sz val="10"/>
      <name val="Arial"/>
      <family val="0"/>
    </font>
    <font>
      <sz val="10"/>
      <name val="Arial"/>
      <family val="0"/>
    </font>
    <font>
      <sz val="10"/>
      <name val="Arial"/>
      <family val="0"/>
    </font>
    <font>
      <b val="true"/>
      <sz val="24"/>
      <color rgb="FF1F3A5F"/>
      <name val="Arial"/>
      <family val="0"/>
      <charset val="1"/>
    </font>
    <font>
      <b val="true"/>
      <sz val="14"/>
      <color rgb="FF2E7D8C"/>
      <name val="Arial"/>
      <family val="0"/>
      <charset val="1"/>
    </font>
    <font>
      <b val="true"/>
      <sz val="10"/>
      <color rgb="FF1F3A5F"/>
      <name val="Arial"/>
      <family val="0"/>
      <charset val="1"/>
    </font>
    <font>
      <sz val="10"/>
      <color rgb="FF000000"/>
      <name val="Arial"/>
      <family val="0"/>
      <charset val="1"/>
    </font>
    <font>
      <i val="true"/>
      <sz val="10"/>
      <color rgb="FF9C0006"/>
      <name val="Arial"/>
      <family val="0"/>
      <charset val="1"/>
    </font>
    <font>
      <b val="true"/>
      <sz val="12"/>
      <color rgb="FFFFFFFF"/>
      <name val="Arial"/>
      <family val="0"/>
      <charset val="1"/>
    </font>
    <font>
      <b val="true"/>
      <sz val="10"/>
      <color rgb="FF000000"/>
      <name val="Arial"/>
      <family val="0"/>
      <charset val="1"/>
    </font>
    <font>
      <b val="true"/>
      <sz val="18"/>
      <color rgb="FF1F3A5F"/>
      <name val="Arial"/>
      <family val="0"/>
      <charset val="1"/>
    </font>
    <font>
      <i val="true"/>
      <sz val="10"/>
      <color rgb="FF595959"/>
      <name val="Arial"/>
      <family val="0"/>
      <charset val="1"/>
    </font>
    <font>
      <b val="true"/>
      <sz val="14"/>
      <color rgb="FF1F3A5F"/>
      <name val="Arial"/>
      <family val="0"/>
      <charset val="1"/>
    </font>
    <font>
      <b val="true"/>
      <sz val="14"/>
      <color rgb="FF9C0006"/>
      <name val="Arial"/>
      <family val="0"/>
      <charset val="1"/>
    </font>
    <font>
      <b val="true"/>
      <sz val="14"/>
      <color rgb="FF9C5700"/>
      <name val="Arial"/>
      <family val="0"/>
      <charset val="1"/>
    </font>
    <font>
      <i val="true"/>
      <sz val="9"/>
      <color rgb="FF7F7F7F"/>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6"/>
      <color rgb="FF1F3A5F"/>
      <name val="Arial"/>
      <family val="0"/>
      <charset val="1"/>
    </font>
    <font>
      <b val="true"/>
      <sz val="10"/>
      <color rgb="FFFFFFFF"/>
      <name val="Arial"/>
      <family val="0"/>
      <charset val="1"/>
    </font>
    <font>
      <b val="true"/>
      <sz val="10"/>
      <color rgb="FF0000FF"/>
      <name val="Arial"/>
      <family val="0"/>
      <charset val="1"/>
    </font>
    <font>
      <i val="true"/>
      <sz val="9"/>
      <color rgb="FF595959"/>
      <name val="Arial"/>
      <family val="0"/>
      <charset val="1"/>
    </font>
  </fonts>
  <fills count="7">
    <fill>
      <patternFill patternType="none"/>
    </fill>
    <fill>
      <patternFill patternType="gray125"/>
    </fill>
    <fill>
      <patternFill patternType="solid">
        <fgColor rgb="FF1F3A5F"/>
        <bgColor rgb="FF1F4E78"/>
      </patternFill>
    </fill>
    <fill>
      <patternFill patternType="solid">
        <fgColor rgb="FFD9D9D9"/>
        <bgColor rgb="FFDDEBF7"/>
      </patternFill>
    </fill>
    <fill>
      <patternFill patternType="solid">
        <fgColor rgb="FF2E7D8C"/>
        <bgColor rgb="FF008080"/>
      </patternFill>
    </fill>
    <fill>
      <patternFill patternType="solid">
        <fgColor rgb="FFF2F2F2"/>
        <bgColor rgb="FFEDEDED"/>
      </patternFill>
    </fill>
    <fill>
      <patternFill patternType="solid">
        <fgColor rgb="FFFFF2CC"/>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xf numFmtId="165" fontId="7" fillId="0" borderId="0" xfId="0" applyFont="true" applyBorder="true" applyAlignment="true" applyProtection="false">
      <alignment horizontal="left" vertical="top" textRotation="0" wrapText="tru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5" fontId="7" fillId="0" borderId="1" xfId="0" applyFont="true" applyBorder="true" applyAlignment="true" applyProtection="false">
      <alignment horizontal="center"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13" fillId="0" borderId="1" xfId="0" applyFont="true" applyBorder="true" applyAlignment="true" applyProtection="false">
      <alignment horizontal="center" vertical="center" textRotation="0" wrapText="true" indent="0" shrinkToFit="false"/>
      <protection locked="true" hidden="false"/>
    </xf>
    <xf numFmtId="167" fontId="13" fillId="0" borderId="1" xfId="0" applyFont="true" applyBorder="true" applyAlignment="true" applyProtection="false">
      <alignment horizontal="center" vertical="center" textRotation="0" wrapText="true" indent="0" shrinkToFit="false"/>
      <protection locked="true" hidden="false"/>
    </xf>
    <xf numFmtId="166" fontId="14" fillId="0" borderId="1" xfId="0" applyFont="true" applyBorder="true" applyAlignment="true" applyProtection="false">
      <alignment horizontal="center" vertical="center" textRotation="0" wrapText="true" indent="0" shrinkToFit="false"/>
      <protection locked="true" hidden="false"/>
    </xf>
    <xf numFmtId="166" fontId="15" fillId="0" borderId="1" xfId="0" applyFont="true" applyBorder="true" applyAlignment="true" applyProtection="false">
      <alignment horizontal="center" vertical="center" textRotation="0" wrapText="true" indent="0" shrinkToFit="false"/>
      <protection locked="true" hidden="false"/>
    </xf>
    <xf numFmtId="167" fontId="7" fillId="0" borderId="1" xfId="0" applyFont="true" applyBorder="true" applyAlignment="true" applyProtection="false">
      <alignment horizontal="center" vertical="top" textRotation="0" wrapText="true" indent="0" shrinkToFit="false"/>
      <protection locked="true" hidden="false"/>
    </xf>
    <xf numFmtId="164" fontId="16" fillId="0" borderId="0"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21" fillId="2" borderId="1" xfId="0" applyFont="true" applyBorder="true" applyAlignment="true" applyProtection="false">
      <alignment horizontal="center" vertical="center" textRotation="0" wrapText="true" indent="0" shrinkToFit="false"/>
      <protection locked="true" hidden="false"/>
    </xf>
    <xf numFmtId="164" fontId="21" fillId="4" borderId="1" xfId="0" applyFont="true" applyBorder="true" applyAlignment="true" applyProtection="false">
      <alignment horizontal="center" vertical="center" textRotation="0" wrapText="true" indent="0" shrinkToFit="false"/>
      <protection locked="true" hidden="false"/>
    </xf>
    <xf numFmtId="164" fontId="7" fillId="5" borderId="1" xfId="0" applyFont="true" applyBorder="true" applyAlignment="true" applyProtection="false">
      <alignment horizontal="general" vertical="top" textRotation="0" wrapText="true" indent="0" shrinkToFit="false"/>
      <protection locked="true" hidden="false"/>
    </xf>
    <xf numFmtId="166" fontId="7" fillId="5" borderId="1" xfId="0" applyFont="true" applyBorder="true" applyAlignment="true" applyProtection="false">
      <alignment horizontal="center" vertical="top" textRotation="0" wrapText="true" indent="0" shrinkToFit="false"/>
      <protection locked="true" hidden="false"/>
    </xf>
    <xf numFmtId="164" fontId="7" fillId="5" borderId="1" xfId="0" applyFont="true" applyBorder="true" applyAlignment="true" applyProtection="false">
      <alignment horizontal="center" vertical="top" textRotation="0" wrapText="true" indent="0" shrinkToFit="false"/>
      <protection locked="true" hidden="false"/>
    </xf>
    <xf numFmtId="167" fontId="7" fillId="5" borderId="1" xfId="0" applyFont="true" applyBorder="true" applyAlignment="true" applyProtection="false">
      <alignment horizontal="center" vertical="top" textRotation="0" wrapText="true" indent="0" shrinkToFit="false"/>
      <protection locked="true" hidden="false"/>
    </xf>
    <xf numFmtId="166" fontId="10" fillId="5" borderId="1" xfId="0" applyFont="true" applyBorder="true" applyAlignment="true" applyProtection="false">
      <alignment horizontal="center" vertical="top" textRotation="0" wrapText="true" indent="0" shrinkToFit="false"/>
      <protection locked="true" hidden="false"/>
    </xf>
    <xf numFmtId="167" fontId="10" fillId="5" borderId="1" xfId="0" applyFont="true" applyBorder="true" applyAlignment="true" applyProtection="false">
      <alignment horizontal="center" vertical="top" textRotation="0" wrapText="true" indent="0" shrinkToFit="false"/>
      <protection locked="true" hidden="false"/>
    </xf>
    <xf numFmtId="164" fontId="22" fillId="6" borderId="1" xfId="0" applyFont="true" applyBorder="true" applyAlignment="true" applyProtection="false">
      <alignment horizontal="center" vertical="top" textRotation="0" wrapText="tru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1">
    <dxf>
      <font>
        <name val="Arial"/>
        <charset val="1"/>
        <family val="0"/>
        <b val="1"/>
        <color rgb="FF9C5700"/>
        <sz val="10"/>
      </font>
      <fill>
        <patternFill>
          <bgColor rgb="FFFFEB9C"/>
        </patternFill>
      </fill>
    </dxf>
    <dxf>
      <font>
        <name val="Arial"/>
        <charset val="1"/>
        <family val="0"/>
        <b val="1"/>
        <color rgb="FF006100"/>
        <sz val="10"/>
      </font>
      <fill>
        <patternFill>
          <bgColor rgb="FFC6EFCE"/>
        </patternFill>
      </fill>
    </dxf>
    <dxf>
      <font>
        <name val="Arial"/>
        <charset val="1"/>
        <family val="0"/>
        <b val="1"/>
        <color rgb="FF9C0006"/>
        <sz val="10"/>
      </font>
      <fill>
        <patternFill>
          <bgColor rgb="FFFFC7CE"/>
        </patternFill>
      </fill>
    </dxf>
    <dxf>
      <fill>
        <patternFill patternType="solid">
          <fgColor rgb="FF1F3A5F"/>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2E7D8C"/>
          <bgColor rgb="FF000000"/>
        </patternFill>
      </fill>
    </dxf>
    <dxf>
      <fill>
        <patternFill patternType="solid">
          <fgColor rgb="FFF2F2F2"/>
          <bgColor rgb="FF000000"/>
        </patternFill>
      </fill>
    </dxf>
    <dxf>
      <fill>
        <patternFill patternType="solid">
          <fgColor rgb="FFC6EFCE"/>
          <bgColor rgb="FF000000"/>
        </patternFill>
      </fill>
    </dxf>
    <dxf>
      <fill>
        <patternFill patternType="solid">
          <fgColor rgb="FFEDEDED"/>
          <bgColor rgb="FF000000"/>
        </patternFill>
      </fill>
    </dxf>
    <dxf>
      <fill>
        <patternFill patternType="solid">
          <fgColor rgb="FFFFC7CE"/>
          <bgColor rgb="FF000000"/>
        </patternFill>
      </fill>
    </dxf>
    <dxf>
      <fill>
        <patternFill patternType="solid">
          <fgColor rgb="FFFFEB9C"/>
          <bgColor rgb="FF000000"/>
        </patternFill>
      </fill>
    </dxf>
    <dxf>
      <fill>
        <patternFill patternType="solid">
          <fgColor rgb="FF006100"/>
          <bgColor rgb="FF000000"/>
        </patternFill>
      </fill>
    </dxf>
    <dxf>
      <fill>
        <patternFill patternType="solid">
          <fgColor rgb="FF595959"/>
          <bgColor rgb="FF000000"/>
        </patternFill>
      </fill>
    </dxf>
    <dxf>
      <fill>
        <patternFill patternType="solid">
          <fgColor rgb="FF9C0006"/>
          <bgColor rgb="FF000000"/>
        </patternFill>
      </fill>
    </dxf>
    <dxf>
      <fill>
        <patternFill patternType="solid">
          <fgColor rgb="FF9C5700"/>
          <bgColor rgb="FF000000"/>
        </patternFill>
      </fill>
    </dxf>
    <dxf>
      <fill>
        <patternFill patternType="solid">
          <fgColor rgb="FFDDEBF7"/>
          <bgColor rgb="FF000000"/>
        </patternFill>
      </fill>
    </dxf>
    <dxf>
      <fill>
        <patternFill patternType="solid">
          <fgColor rgb="FF1F4E78"/>
          <bgColor rgb="FF000000"/>
        </patternFill>
      </fill>
    </dxf>
    <dxf>
      <font>
        <name val="Arial"/>
        <charset val="1"/>
        <family val="0"/>
        <b val="1"/>
        <color rgb="FF1F4E78"/>
        <sz val="10"/>
      </font>
      <fill>
        <patternFill>
          <bgColor rgb="FFDDEBF7"/>
        </patternFill>
      </fill>
    </dxf>
    <dxf>
      <font>
        <name val="Arial"/>
        <charset val="1"/>
        <family val="0"/>
        <b val="1"/>
        <color rgb="FF595959"/>
        <sz val="10"/>
      </font>
      <fill>
        <patternFill>
          <bgColor rgb="FFEDEDED"/>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BFBFBF"/>
      <rgbColor rgb="FF7F7F7F"/>
      <rgbColor rgb="FF9999FF"/>
      <rgbColor rgb="FF993366"/>
      <rgbColor rgb="FFFFF2CC"/>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C6EFCE"/>
      <rgbColor rgb="FFFFEB9C"/>
      <rgbColor rgb="FFEDEDED"/>
      <rgbColor rgb="FFFF99CC"/>
      <rgbColor rgb="FFCC99FF"/>
      <rgbColor rgb="FFFFC7CE"/>
      <rgbColor rgb="FF3366FF"/>
      <rgbColor rgb="FF33CCCC"/>
      <rgbColor rgb="FF99CC00"/>
      <rgbColor rgb="FFFFCC00"/>
      <rgbColor rgb="FFFF9900"/>
      <rgbColor rgb="FFFF6600"/>
      <rgbColor rgb="FF595959"/>
      <rgbColor rgb="FF878787"/>
      <rgbColor rgb="FF1F3A5F"/>
      <rgbColor rgb="FF2E7D8C"/>
      <rgbColor rgb="FF003300"/>
      <rgbColor rgb="FF333300"/>
      <rgbColor rgb="FF9C57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Points by sprint</a:t>
            </a:r>
          </a:p>
        </c:rich>
      </c:tx>
      <c:overlay val="0"/>
      <c:spPr>
        <a:noFill/>
        <a:ln w="0">
          <a:noFill/>
        </a:ln>
      </c:spPr>
    </c:title>
    <c:autoTitleDeleted val="0"/>
    <c:plotArea>
      <c:barChart>
        <c:barDir val="col"/>
        <c:grouping val="clustered"/>
        <c:varyColors val="0"/>
        <c:ser>
          <c:idx val="0"/>
          <c:order val="0"/>
          <c:tx>
            <c:strRef>
              <c:f>'Sprint Plan'!E4</c:f>
              <c:strCache>
                <c:ptCount val="1"/>
                <c:pt idx="0">
                  <c:v>Capacity (pts)</c:v>
                </c:pt>
              </c:strCache>
            </c:strRef>
          </c:tx>
          <c:spPr>
            <a:solidFill>
              <a:srgbClr val="bfbfbf"/>
            </a:solidFill>
            <a:ln w="0">
              <a:solidFill>
                <a:srgbClr val="bfbfb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'Sprint Plan'!$A$5:$A$14</c:f>
              <c:strCache>
                <c:ptCount val="10"/>
                <c:pt idx="0">
                  <c:v>Sprint 1</c:v>
                </c:pt>
                <c:pt idx="1">
                  <c:v>Sprint 2</c:v>
                </c:pt>
                <c:pt idx="2">
                  <c:v>Sprint 3</c:v>
                </c:pt>
                <c:pt idx="3">
                  <c:v>Sprint 4</c:v>
                </c:pt>
                <c:pt idx="4">
                  <c:v>Sprint 5</c:v>
                </c:pt>
                <c:pt idx="5">
                  <c:v>Sprint 6</c:v>
                </c:pt>
                <c:pt idx="6">
                  <c:v>Sprint 7</c:v>
                </c:pt>
                <c:pt idx="7">
                  <c:v>Sprint 8</c:v>
                </c:pt>
                <c:pt idx="8">
                  <c:v>Sprint 9</c:v>
                </c:pt>
                <c:pt idx="9">
                  <c:v>Sprint 10</c:v>
                </c:pt>
              </c:strCache>
            </c:strRef>
          </c:cat>
          <c:val>
            <c:numRef>
              <c:f>'Sprint Plan'!$E$5:$E$14</c:f>
              <c:numCache>
                <c:formatCode>General</c:formatCode>
                <c:ptCount val="10"/>
                <c:pt idx="0">
                  <c:v>25</c:v>
                </c:pt>
                <c:pt idx="1">
                  <c:v>25</c:v>
                </c:pt>
                <c:pt idx="2">
                  <c:v>25</c:v>
                </c:pt>
                <c:pt idx="3">
                  <c:v>40</c:v>
                </c:pt>
                <c:pt idx="4">
                  <c:v>40</c:v>
                </c:pt>
                <c:pt idx="5">
                  <c:v>40</c:v>
                </c:pt>
                <c:pt idx="6">
                  <c:v>40</c:v>
                </c:pt>
                <c:pt idx="7">
                  <c:v>40</c:v>
                </c:pt>
                <c:pt idx="8">
                  <c:v>20</c:v>
                </c:pt>
                <c:pt idx="9">
                  <c:v>20</c:v>
                </c:pt>
              </c:numCache>
            </c:numRef>
          </c:val>
        </c:ser>
        <c:ser>
          <c:idx val="1"/>
          <c:order val="1"/>
          <c:tx>
            <c:strRef>
              <c:f>'Sprint Plan'!F4</c:f>
              <c:strCache>
                <c:ptCount val="1"/>
                <c:pt idx="0">
                  <c:v>Planned (pts)</c:v>
                </c:pt>
              </c:strCache>
            </c:strRef>
          </c:tx>
          <c:spPr>
            <a:solidFill>
              <a:srgbClr val="2e7d8c"/>
            </a:solidFill>
            <a:ln w="0">
              <a:solidFill>
                <a:srgbClr val="2e7d8c"/>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'Sprint Plan'!$A$5:$A$14</c:f>
              <c:strCache>
                <c:ptCount val="10"/>
                <c:pt idx="0">
                  <c:v>Sprint 1</c:v>
                </c:pt>
                <c:pt idx="1">
                  <c:v>Sprint 2</c:v>
                </c:pt>
                <c:pt idx="2">
                  <c:v>Sprint 3</c:v>
                </c:pt>
                <c:pt idx="3">
                  <c:v>Sprint 4</c:v>
                </c:pt>
                <c:pt idx="4">
                  <c:v>Sprint 5</c:v>
                </c:pt>
                <c:pt idx="5">
                  <c:v>Sprint 6</c:v>
                </c:pt>
                <c:pt idx="6">
                  <c:v>Sprint 7</c:v>
                </c:pt>
                <c:pt idx="7">
                  <c:v>Sprint 8</c:v>
                </c:pt>
                <c:pt idx="8">
                  <c:v>Sprint 9</c:v>
                </c:pt>
                <c:pt idx="9">
                  <c:v>Sprint 10</c:v>
                </c:pt>
              </c:strCache>
            </c:strRef>
          </c:cat>
          <c:val>
            <c:numRef>
              <c:f>'Sprint Plan'!$F$5:$F$14</c:f>
              <c:numCache>
                <c:formatCode>General</c:formatCode>
                <c:ptCount val="10"/>
                <c:pt idx="0">
                  <c:v>24</c:v>
                </c:pt>
                <c:pt idx="1">
                  <c:v>24</c:v>
                </c:pt>
                <c:pt idx="2">
                  <c:v>21</c:v>
                </c:pt>
                <c:pt idx="3">
                  <c:v>29</c:v>
                </c:pt>
                <c:pt idx="4">
                  <c:v>34</c:v>
                </c:pt>
                <c:pt idx="5">
                  <c:v>39</c:v>
                </c:pt>
                <c:pt idx="6">
                  <c:v>37</c:v>
                </c:pt>
                <c:pt idx="7">
                  <c:v>36</c:v>
                </c:pt>
                <c:pt idx="8">
                  <c:v>8</c:v>
                </c:pt>
                <c:pt idx="9">
                  <c:v>0</c:v>
                </c:pt>
              </c:numCache>
            </c:numRef>
          </c:val>
        </c:ser>
        <c:ser>
          <c:idx val="2"/>
          <c:order val="2"/>
          <c:tx>
            <c:strRef>
              <c:f>'Sprint Plan'!H4</c:f>
              <c:strCache>
                <c:ptCount val="1"/>
                <c:pt idx="0">
                  <c:v>Completed (pts)</c:v>
                </c:pt>
              </c:strCache>
            </c:strRef>
          </c:tx>
          <c:spPr>
            <a:solidFill>
              <a:srgbClr val="1f3a5f"/>
            </a:solidFill>
            <a:ln w="0">
              <a:solidFill>
                <a:srgbClr val="1f3a5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'Sprint Plan'!$A$5:$A$14</c:f>
              <c:strCache>
                <c:ptCount val="10"/>
                <c:pt idx="0">
                  <c:v>Sprint 1</c:v>
                </c:pt>
                <c:pt idx="1">
                  <c:v>Sprint 2</c:v>
                </c:pt>
                <c:pt idx="2">
                  <c:v>Sprint 3</c:v>
                </c:pt>
                <c:pt idx="3">
                  <c:v>Sprint 4</c:v>
                </c:pt>
                <c:pt idx="4">
                  <c:v>Sprint 5</c:v>
                </c:pt>
                <c:pt idx="5">
                  <c:v>Sprint 6</c:v>
                </c:pt>
                <c:pt idx="6">
                  <c:v>Sprint 7</c:v>
                </c:pt>
                <c:pt idx="7">
                  <c:v>Sprint 8</c:v>
                </c:pt>
                <c:pt idx="8">
                  <c:v>Sprint 9</c:v>
                </c:pt>
                <c:pt idx="9">
                  <c:v>Sprint 10</c:v>
                </c:pt>
              </c:strCache>
            </c:strRef>
          </c:cat>
          <c:val>
            <c:numRef>
              <c:f>'Sprint Plan'!$H$5:$H$14</c:f>
              <c:numCache>
                <c:formatCode>General</c:formatCode>
                <c:ptCount val="10"/>
                <c:pt idx="0">
                  <c:v>24</c:v>
                </c:pt>
                <c:pt idx="1">
                  <c:v>24</c:v>
                </c:pt>
                <c:pt idx="2">
                  <c:v>21</c:v>
                </c:pt>
                <c:pt idx="3">
                  <c:v>11</c:v>
                </c:pt>
                <c:pt idx="4">
                  <c:v>0</c:v>
                </c:pt>
                <c:pt idx="5">
                  <c:v>0</c:v>
                </c:pt>
                <c:pt idx="6">
                  <c:v>0</c:v>
                </c:pt>
                <c:pt idx="7">
                  <c:v>0</c:v>
                </c:pt>
                <c:pt idx="8">
                  <c:v>0</c:v>
                </c:pt>
                <c:pt idx="9">
                  <c:v>0</c:v>
                </c:pt>
              </c:numCache>
            </c:numRef>
          </c:val>
        </c:ser>
        <c:gapWidth val="150"/>
        <c:overlap val="0"/>
        <c:axId val="63032665"/>
        <c:axId val="4509410"/>
      </c:barChart>
      <c:catAx>
        <c:axId val="6303266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509410"/>
        <c:crosses val="autoZero"/>
        <c:auto val="1"/>
        <c:lblAlgn val="ctr"/>
        <c:lblOffset val="100"/>
        <c:noMultiLvlLbl val="0"/>
      </c:catAx>
      <c:valAx>
        <c:axId val="4509410"/>
        <c:scaling>
          <c:orientation val="minMax"/>
        </c:scaling>
        <c:delete val="0"/>
        <c:axPos val="l"/>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Story points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3032665"/>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21</xdr:row>
      <xdr:rowOff>100800</xdr:rowOff>
    </xdr:from>
    <xdr:to>
      <xdr:col>8</xdr:col>
      <xdr:colOff>181440</xdr:colOff>
      <xdr:row>35</xdr:row>
      <xdr:rowOff>133560</xdr:rowOff>
    </xdr:to>
    <xdr:graphicFrame>
      <xdr:nvGraphicFramePr>
        <xdr:cNvPr id="0" name="Chart 1"/>
        <xdr:cNvGraphicFramePr/>
      </xdr:nvGraphicFramePr>
      <xdr:xfrm>
        <a:off x="211320" y="5448240"/>
        <a:ext cx="863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6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7" min="3" style="0" width="20"/>
  </cols>
  <sheetData>
    <row r="2" customFormat="false" ht="29.15" hidden="false" customHeight="false" outlineLevel="0" collapsed="false">
      <c r="B2" s="1" t="s">
        <v>0</v>
      </c>
    </row>
    <row r="3" customFormat="false" ht="17.35" hidden="false" customHeight="false" outlineLevel="0" collapsed="false">
      <c r="B3" s="2" t="s">
        <v>1</v>
      </c>
    </row>
    <row r="5" customFormat="false" ht="15" hidden="false" customHeight="true" outlineLevel="0" collapsed="false">
      <c r="B5" s="3" t="s">
        <v>2</v>
      </c>
      <c r="C5" s="4" t="s">
        <v>3</v>
      </c>
      <c r="D5" s="4"/>
      <c r="E5" s="4"/>
      <c r="F5" s="4"/>
      <c r="G5" s="4"/>
    </row>
    <row r="6" customFormat="false" ht="15" hidden="false" customHeight="true" outlineLevel="0" collapsed="false">
      <c r="B6" s="3" t="s">
        <v>4</v>
      </c>
      <c r="C6" s="4" t="s">
        <v>5</v>
      </c>
      <c r="D6" s="4"/>
      <c r="E6" s="4"/>
      <c r="F6" s="4"/>
      <c r="G6" s="4"/>
    </row>
    <row r="7" customFormat="false" ht="15" hidden="false" customHeight="false" outlineLevel="0" collapsed="false">
      <c r="B7" s="3" t="s">
        <v>6</v>
      </c>
      <c r="C7" s="5" t="n">
        <v>46275</v>
      </c>
      <c r="D7" s="5"/>
      <c r="E7" s="5"/>
      <c r="F7" s="5"/>
      <c r="G7" s="5"/>
    </row>
    <row r="8" customFormat="false" ht="15" hidden="false" customHeight="true" outlineLevel="0" collapsed="false">
      <c r="B8" s="3" t="s">
        <v>7</v>
      </c>
      <c r="C8" s="4" t="s">
        <v>8</v>
      </c>
      <c r="D8" s="4"/>
      <c r="E8" s="4"/>
      <c r="F8" s="4"/>
      <c r="G8" s="4"/>
    </row>
    <row r="9" customFormat="false" ht="15" hidden="false" customHeight="true" outlineLevel="0" collapsed="false">
      <c r="B9" s="3" t="s">
        <v>9</v>
      </c>
      <c r="C9" s="4" t="s">
        <v>10</v>
      </c>
      <c r="D9" s="4"/>
      <c r="E9" s="4"/>
      <c r="F9" s="4"/>
      <c r="G9" s="4"/>
    </row>
    <row r="10" customFormat="false" ht="30" hidden="false" customHeight="true" outlineLevel="0" collapsed="false">
      <c r="B10" s="3" t="s">
        <v>11</v>
      </c>
      <c r="C10" s="4" t="s">
        <v>12</v>
      </c>
      <c r="D10" s="4"/>
      <c r="E10" s="4"/>
      <c r="F10" s="4"/>
      <c r="G10" s="4"/>
    </row>
    <row r="11" customFormat="false" ht="30" hidden="false" customHeight="true" outlineLevel="0" collapsed="false">
      <c r="B11" s="3" t="s">
        <v>13</v>
      </c>
      <c r="C11" s="6" t="s">
        <v>14</v>
      </c>
      <c r="D11" s="6"/>
      <c r="E11" s="6"/>
      <c r="F11" s="6"/>
      <c r="G11" s="6"/>
    </row>
    <row r="13" customFormat="false" ht="19.5" hidden="false" customHeight="true" outlineLevel="0" collapsed="false">
      <c r="B13" s="7" t="s">
        <v>15</v>
      </c>
      <c r="C13" s="8"/>
      <c r="D13" s="8"/>
      <c r="E13" s="8"/>
      <c r="F13" s="8"/>
      <c r="G13" s="8"/>
    </row>
    <row r="14" customFormat="false" ht="43.5" hidden="false" customHeight="true" outlineLevel="0" collapsed="false">
      <c r="B14" s="9" t="s">
        <v>16</v>
      </c>
      <c r="C14" s="9"/>
      <c r="D14" s="9"/>
      <c r="E14" s="9"/>
      <c r="F14" s="9"/>
      <c r="G14" s="9"/>
    </row>
    <row r="16" customFormat="false" ht="19.5" hidden="false" customHeight="true" outlineLevel="0" collapsed="false">
      <c r="B16" s="7" t="s">
        <v>17</v>
      </c>
      <c r="C16" s="8"/>
      <c r="D16" s="8"/>
      <c r="E16" s="8"/>
      <c r="F16" s="8"/>
      <c r="G16" s="8"/>
    </row>
    <row r="17" customFormat="false" ht="15" hidden="false" customHeight="true" outlineLevel="0" collapsed="false">
      <c r="B17" s="10" t="s">
        <v>18</v>
      </c>
      <c r="C17" s="10" t="s">
        <v>19</v>
      </c>
      <c r="D17" s="10"/>
      <c r="E17" s="10"/>
      <c r="F17" s="10"/>
      <c r="G17" s="10"/>
    </row>
    <row r="18" customFormat="false" ht="18" hidden="false" customHeight="true" outlineLevel="0" collapsed="false">
      <c r="B18" s="11" t="s">
        <v>20</v>
      </c>
      <c r="C18" s="12" t="s">
        <v>21</v>
      </c>
      <c r="D18" s="12"/>
      <c r="E18" s="12"/>
      <c r="F18" s="12"/>
      <c r="G18" s="12"/>
    </row>
    <row r="19" customFormat="false" ht="31.5" hidden="false" customHeight="true" outlineLevel="0" collapsed="false">
      <c r="B19" s="11" t="s">
        <v>22</v>
      </c>
      <c r="C19" s="12" t="s">
        <v>23</v>
      </c>
      <c r="D19" s="12"/>
      <c r="E19" s="12"/>
      <c r="F19" s="12"/>
      <c r="G19" s="12"/>
    </row>
    <row r="20" customFormat="false" ht="31.5" hidden="false" customHeight="true" outlineLevel="0" collapsed="false">
      <c r="B20" s="11" t="s">
        <v>24</v>
      </c>
      <c r="C20" s="12" t="s">
        <v>25</v>
      </c>
      <c r="D20" s="12"/>
      <c r="E20" s="12"/>
      <c r="F20" s="12"/>
      <c r="G20" s="12"/>
    </row>
    <row r="21" customFormat="false" ht="31.5" hidden="false" customHeight="true" outlineLevel="0" collapsed="false">
      <c r="B21" s="11" t="s">
        <v>26</v>
      </c>
      <c r="C21" s="12" t="s">
        <v>27</v>
      </c>
      <c r="D21" s="12"/>
      <c r="E21" s="12"/>
      <c r="F21" s="12"/>
      <c r="G21" s="12"/>
    </row>
    <row r="23" customFormat="false" ht="19.5" hidden="false" customHeight="true" outlineLevel="0" collapsed="false">
      <c r="B23" s="7" t="s">
        <v>28</v>
      </c>
      <c r="C23" s="8"/>
      <c r="D23" s="8"/>
      <c r="E23" s="8"/>
      <c r="F23" s="8"/>
      <c r="G23" s="8"/>
    </row>
    <row r="24" customFormat="false" ht="18" hidden="false" customHeight="true" outlineLevel="0" collapsed="false">
      <c r="B24" s="9" t="s">
        <v>29</v>
      </c>
      <c r="C24" s="9"/>
      <c r="D24" s="9"/>
      <c r="E24" s="9"/>
      <c r="F24" s="9"/>
      <c r="G24" s="9"/>
    </row>
    <row r="25" customFormat="false" ht="18" hidden="false" customHeight="true" outlineLevel="0" collapsed="false">
      <c r="B25" s="9" t="s">
        <v>30</v>
      </c>
      <c r="C25" s="9"/>
      <c r="D25" s="9"/>
      <c r="E25" s="9"/>
      <c r="F25" s="9"/>
      <c r="G25" s="9"/>
    </row>
    <row r="26" customFormat="false" ht="18" hidden="false" customHeight="true" outlineLevel="0" collapsed="false">
      <c r="B26" s="9" t="s">
        <v>31</v>
      </c>
      <c r="C26" s="9"/>
      <c r="D26" s="9"/>
      <c r="E26" s="9"/>
      <c r="F26" s="9"/>
      <c r="G26" s="9"/>
    </row>
    <row r="27" customFormat="false" ht="18" hidden="false" customHeight="true" outlineLevel="0" collapsed="false">
      <c r="B27" s="9" t="s">
        <v>32</v>
      </c>
      <c r="C27" s="9"/>
      <c r="D27" s="9"/>
      <c r="E27" s="9"/>
      <c r="F27" s="9"/>
      <c r="G27" s="9"/>
    </row>
    <row r="28" customFormat="false" ht="18" hidden="false" customHeight="true" outlineLevel="0" collapsed="false">
      <c r="B28" s="9" t="s">
        <v>33</v>
      </c>
      <c r="C28" s="9"/>
      <c r="D28" s="9"/>
      <c r="E28" s="9"/>
      <c r="F28" s="9"/>
      <c r="G28" s="9"/>
    </row>
    <row r="29" customFormat="false" ht="18" hidden="false" customHeight="true" outlineLevel="0" collapsed="false">
      <c r="B29" s="9" t="s">
        <v>34</v>
      </c>
      <c r="C29" s="9"/>
      <c r="D29" s="9"/>
      <c r="E29" s="9"/>
      <c r="F29" s="9"/>
      <c r="G29" s="9"/>
    </row>
    <row r="31" customFormat="false" ht="19.5" hidden="false" customHeight="true" outlineLevel="0" collapsed="false">
      <c r="B31" s="7" t="s">
        <v>35</v>
      </c>
      <c r="C31" s="8"/>
      <c r="D31" s="8"/>
      <c r="E31" s="8"/>
      <c r="F31" s="8"/>
      <c r="G31" s="8"/>
    </row>
    <row r="32" customFormat="false" ht="18" hidden="false" customHeight="true" outlineLevel="0" collapsed="false">
      <c r="B32" s="9" t="s">
        <v>36</v>
      </c>
      <c r="C32" s="9"/>
      <c r="D32" s="9"/>
      <c r="E32" s="9"/>
      <c r="F32" s="9"/>
      <c r="G32" s="9"/>
    </row>
    <row r="33" customFormat="false" ht="18" hidden="false" customHeight="true" outlineLevel="0" collapsed="false">
      <c r="B33" s="9" t="s">
        <v>37</v>
      </c>
      <c r="C33" s="9"/>
      <c r="D33" s="9"/>
      <c r="E33" s="9"/>
      <c r="F33" s="9"/>
      <c r="G33" s="9"/>
    </row>
    <row r="34" customFormat="false" ht="18" hidden="false" customHeight="true" outlineLevel="0" collapsed="false">
      <c r="B34" s="9" t="s">
        <v>38</v>
      </c>
      <c r="C34" s="9"/>
      <c r="D34" s="9"/>
      <c r="E34" s="9"/>
      <c r="F34" s="9"/>
      <c r="G34" s="9"/>
    </row>
    <row r="35" customFormat="false" ht="18" hidden="false" customHeight="true" outlineLevel="0" collapsed="false">
      <c r="B35" s="9" t="s">
        <v>39</v>
      </c>
      <c r="C35" s="9"/>
      <c r="D35" s="9"/>
      <c r="E35" s="9"/>
      <c r="F35" s="9"/>
      <c r="G35" s="9"/>
    </row>
    <row r="36" customFormat="false" ht="18" hidden="false" customHeight="true" outlineLevel="0" collapsed="false">
      <c r="B36" s="9" t="s">
        <v>40</v>
      </c>
      <c r="C36" s="9"/>
      <c r="D36" s="9"/>
      <c r="E36" s="9"/>
      <c r="F36" s="9"/>
      <c r="G36" s="9"/>
    </row>
    <row r="37" customFormat="false" ht="18" hidden="false" customHeight="true" outlineLevel="0" collapsed="false">
      <c r="B37" s="9" t="s">
        <v>41</v>
      </c>
      <c r="C37" s="9"/>
      <c r="D37" s="9"/>
      <c r="E37" s="9"/>
      <c r="F37" s="9"/>
      <c r="G37" s="9"/>
    </row>
    <row r="39" customFormat="false" ht="19.5" hidden="false" customHeight="true" outlineLevel="0" collapsed="false">
      <c r="B39" s="7" t="s">
        <v>42</v>
      </c>
      <c r="C39" s="8"/>
      <c r="D39" s="8"/>
      <c r="E39" s="8"/>
      <c r="F39" s="8"/>
      <c r="G39" s="8"/>
    </row>
    <row r="40" customFormat="false" ht="15" hidden="false" customHeight="true" outlineLevel="0" collapsed="false">
      <c r="B40" s="10" t="s">
        <v>43</v>
      </c>
      <c r="C40" s="10" t="s">
        <v>44</v>
      </c>
      <c r="D40" s="10"/>
      <c r="E40" s="10"/>
      <c r="F40" s="10"/>
      <c r="G40" s="10"/>
    </row>
    <row r="41" customFormat="false" ht="31.5" hidden="false" customHeight="true" outlineLevel="0" collapsed="false">
      <c r="B41" s="11" t="s">
        <v>45</v>
      </c>
      <c r="C41" s="12" t="s">
        <v>46</v>
      </c>
      <c r="D41" s="12"/>
      <c r="E41" s="12"/>
      <c r="F41" s="12"/>
      <c r="G41" s="12"/>
    </row>
    <row r="42" customFormat="false" ht="31.5" hidden="false" customHeight="true" outlineLevel="0" collapsed="false">
      <c r="B42" s="11" t="s">
        <v>47</v>
      </c>
      <c r="C42" s="12" t="s">
        <v>48</v>
      </c>
      <c r="D42" s="12"/>
      <c r="E42" s="12"/>
      <c r="F42" s="12"/>
      <c r="G42" s="12"/>
    </row>
    <row r="43" customFormat="false" ht="31.5" hidden="false" customHeight="true" outlineLevel="0" collapsed="false">
      <c r="B43" s="11" t="s">
        <v>49</v>
      </c>
      <c r="C43" s="12" t="s">
        <v>50</v>
      </c>
      <c r="D43" s="12"/>
      <c r="E43" s="12"/>
      <c r="F43" s="12"/>
      <c r="G43" s="12"/>
    </row>
    <row r="44" customFormat="false" ht="31.5" hidden="false" customHeight="true" outlineLevel="0" collapsed="false">
      <c r="B44" s="11" t="s">
        <v>51</v>
      </c>
      <c r="C44" s="12" t="s">
        <v>52</v>
      </c>
      <c r="D44" s="12"/>
      <c r="E44" s="12"/>
      <c r="F44" s="12"/>
      <c r="G44" s="12"/>
    </row>
    <row r="46" customFormat="false" ht="19.5" hidden="false" customHeight="true" outlineLevel="0" collapsed="false">
      <c r="B46" s="7" t="s">
        <v>53</v>
      </c>
      <c r="C46" s="8"/>
      <c r="D46" s="8"/>
      <c r="E46" s="8"/>
      <c r="F46" s="8"/>
      <c r="G46" s="8"/>
    </row>
    <row r="47" customFormat="false" ht="15" hidden="false" customHeight="true" outlineLevel="0" collapsed="false">
      <c r="B47" s="10" t="s">
        <v>54</v>
      </c>
      <c r="C47" s="10" t="s">
        <v>55</v>
      </c>
      <c r="D47" s="10"/>
      <c r="E47" s="10"/>
      <c r="F47" s="10"/>
      <c r="G47" s="10"/>
    </row>
    <row r="48" customFormat="false" ht="31.5" hidden="false" customHeight="true" outlineLevel="0" collapsed="false">
      <c r="B48" s="11" t="s">
        <v>56</v>
      </c>
      <c r="C48" s="12" t="s">
        <v>57</v>
      </c>
      <c r="D48" s="12"/>
      <c r="E48" s="12"/>
      <c r="F48" s="12"/>
      <c r="G48" s="12"/>
    </row>
    <row r="49" customFormat="false" ht="18" hidden="false" customHeight="true" outlineLevel="0" collapsed="false">
      <c r="B49" s="11" t="s">
        <v>9</v>
      </c>
      <c r="C49" s="12" t="s">
        <v>58</v>
      </c>
      <c r="D49" s="12"/>
      <c r="E49" s="12"/>
      <c r="F49" s="12"/>
      <c r="G49" s="12"/>
    </row>
    <row r="50" customFormat="false" ht="18" hidden="false" customHeight="true" outlineLevel="0" collapsed="false">
      <c r="B50" s="11" t="s">
        <v>59</v>
      </c>
      <c r="C50" s="12" t="s">
        <v>60</v>
      </c>
      <c r="D50" s="12"/>
      <c r="E50" s="12"/>
      <c r="F50" s="12"/>
      <c r="G50" s="12"/>
    </row>
    <row r="52" customFormat="false" ht="19.5" hidden="false" customHeight="true" outlineLevel="0" collapsed="false">
      <c r="B52" s="7" t="s">
        <v>61</v>
      </c>
      <c r="C52" s="8"/>
      <c r="D52" s="8"/>
      <c r="E52" s="8"/>
      <c r="F52" s="8"/>
      <c r="G52" s="8"/>
    </row>
    <row r="53" customFormat="false" ht="18" hidden="false" customHeight="true" outlineLevel="0" collapsed="false">
      <c r="B53" s="9" t="s">
        <v>62</v>
      </c>
      <c r="C53" s="9"/>
      <c r="D53" s="9"/>
      <c r="E53" s="9"/>
      <c r="F53" s="9"/>
      <c r="G53" s="9"/>
    </row>
    <row r="54" customFormat="false" ht="18" hidden="false" customHeight="true" outlineLevel="0" collapsed="false">
      <c r="B54" s="9" t="s">
        <v>63</v>
      </c>
      <c r="C54" s="9"/>
      <c r="D54" s="9"/>
      <c r="E54" s="9"/>
      <c r="F54" s="9"/>
      <c r="G54" s="9"/>
    </row>
    <row r="55" customFormat="false" ht="18" hidden="false" customHeight="true" outlineLevel="0" collapsed="false">
      <c r="B55" s="9" t="s">
        <v>64</v>
      </c>
      <c r="C55" s="9"/>
      <c r="D55" s="9"/>
      <c r="E55" s="9"/>
      <c r="F55" s="9"/>
      <c r="G55" s="9"/>
    </row>
    <row r="56" customFormat="false" ht="18" hidden="false" customHeight="true" outlineLevel="0" collapsed="false">
      <c r="B56" s="9" t="s">
        <v>65</v>
      </c>
      <c r="C56" s="9"/>
      <c r="D56" s="9"/>
      <c r="E56" s="9"/>
      <c r="F56" s="9"/>
      <c r="G56" s="9"/>
    </row>
    <row r="57" customFormat="false" ht="18" hidden="false" customHeight="true" outlineLevel="0" collapsed="false">
      <c r="B57" s="9" t="s">
        <v>66</v>
      </c>
      <c r="C57" s="9"/>
      <c r="D57" s="9"/>
      <c r="E57" s="9"/>
      <c r="F57" s="9"/>
      <c r="G57" s="9"/>
    </row>
    <row r="58" customFormat="false" ht="18" hidden="false" customHeight="true" outlineLevel="0" collapsed="false">
      <c r="B58" s="9" t="s">
        <v>67</v>
      </c>
      <c r="C58" s="9"/>
      <c r="D58" s="9"/>
      <c r="E58" s="9"/>
      <c r="F58" s="9"/>
      <c r="G58" s="9"/>
    </row>
    <row r="60" customFormat="false" ht="19.5" hidden="false" customHeight="true" outlineLevel="0" collapsed="false">
      <c r="B60" s="7" t="s">
        <v>68</v>
      </c>
      <c r="C60" s="8"/>
      <c r="D60" s="8"/>
      <c r="E60" s="8"/>
      <c r="F60" s="8"/>
      <c r="G60" s="8"/>
    </row>
    <row r="61" customFormat="false" ht="15" hidden="false" customHeight="true" outlineLevel="0" collapsed="false">
      <c r="B61" s="10" t="s">
        <v>4</v>
      </c>
      <c r="C61" s="10" t="s">
        <v>69</v>
      </c>
      <c r="D61" s="10" t="s">
        <v>70</v>
      </c>
      <c r="E61" s="10" t="s">
        <v>71</v>
      </c>
      <c r="F61" s="10"/>
      <c r="G61" s="10"/>
    </row>
    <row r="62" customFormat="false" ht="30" hidden="false" customHeight="true" outlineLevel="0" collapsed="false">
      <c r="B62" s="13" t="s">
        <v>5</v>
      </c>
      <c r="C62" s="14" t="n">
        <v>46275</v>
      </c>
      <c r="D62" s="13" t="s">
        <v>72</v>
      </c>
      <c r="E62" s="12" t="s">
        <v>73</v>
      </c>
      <c r="F62" s="12"/>
      <c r="G62" s="12"/>
    </row>
  </sheetData>
  <mergeCells count="42">
    <mergeCell ref="C5:G5"/>
    <mergeCell ref="C6:G6"/>
    <mergeCell ref="C7:G7"/>
    <mergeCell ref="C8:G8"/>
    <mergeCell ref="C9:G9"/>
    <mergeCell ref="C10:G10"/>
    <mergeCell ref="C11:G11"/>
    <mergeCell ref="B14:G14"/>
    <mergeCell ref="C17:G17"/>
    <mergeCell ref="C18:G18"/>
    <mergeCell ref="C19:G19"/>
    <mergeCell ref="C20:G20"/>
    <mergeCell ref="C21:G21"/>
    <mergeCell ref="B24:G24"/>
    <mergeCell ref="B25:G25"/>
    <mergeCell ref="B26:G26"/>
    <mergeCell ref="B27:G27"/>
    <mergeCell ref="B28:G28"/>
    <mergeCell ref="B29:G29"/>
    <mergeCell ref="B32:G32"/>
    <mergeCell ref="B33:G33"/>
    <mergeCell ref="B34:G34"/>
    <mergeCell ref="B35:G35"/>
    <mergeCell ref="B36:G36"/>
    <mergeCell ref="B37:G37"/>
    <mergeCell ref="C40:G40"/>
    <mergeCell ref="C41:G41"/>
    <mergeCell ref="C42:G42"/>
    <mergeCell ref="C43:G43"/>
    <mergeCell ref="C44:G44"/>
    <mergeCell ref="C47:G47"/>
    <mergeCell ref="C48:G48"/>
    <mergeCell ref="C49:G49"/>
    <mergeCell ref="C50:G50"/>
    <mergeCell ref="B53:G53"/>
    <mergeCell ref="B54:G54"/>
    <mergeCell ref="B55:G55"/>
    <mergeCell ref="B56:G56"/>
    <mergeCell ref="B57:G57"/>
    <mergeCell ref="B58:G58"/>
    <mergeCell ref="E61:G61"/>
    <mergeCell ref="E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
    <col collapsed="false" customWidth="true" hidden="false" outlineLevel="0" max="3" min="3" style="0" width="30"/>
    <col collapsed="false" customWidth="true" hidden="false" outlineLevel="0" max="7" min="4" style="0" width="13"/>
    <col collapsed="false" customWidth="true" hidden="false" outlineLevel="0" max="8" min="8" style="0" width="26"/>
    <col collapsed="false" customWidth="true" hidden="false" outlineLevel="0" max="9" min="9" style="0" width="14"/>
  </cols>
  <sheetData>
    <row r="1" customFormat="false" ht="22.05" hidden="false" customHeight="false" outlineLevel="0" collapsed="false">
      <c r="B1" s="15" t="s">
        <v>74</v>
      </c>
    </row>
    <row r="2" customFormat="false" ht="15" hidden="false" customHeight="false" outlineLevel="0" collapsed="false">
      <c r="B2" s="16" t="s">
        <v>75</v>
      </c>
    </row>
    <row r="3" customFormat="false" ht="15" hidden="false" customHeight="false" outlineLevel="0" collapsed="false">
      <c r="B3" s="17" t="str">
        <f aca="false">"Reporting date: "&amp;TEXT(Cover!$C$7,"DD-MMM-YYYY")</f>
        <v>Reporting date: 10-Sep-2026</v>
      </c>
    </row>
    <row r="5" customFormat="false" ht="19.5" hidden="false" customHeight="true" outlineLevel="0" collapsed="false">
      <c r="B5" s="7" t="s">
        <v>76</v>
      </c>
      <c r="C5" s="8"/>
      <c r="D5" s="8"/>
      <c r="E5" s="8"/>
      <c r="F5" s="8"/>
      <c r="G5" s="8"/>
      <c r="H5" s="8"/>
      <c r="I5" s="8"/>
    </row>
    <row r="6" customFormat="false" ht="30" hidden="false" customHeight="true" outlineLevel="0" collapsed="false">
      <c r="B6" s="10" t="s">
        <v>77</v>
      </c>
      <c r="C6" s="10" t="s">
        <v>78</v>
      </c>
      <c r="D6" s="10"/>
      <c r="E6" s="10" t="s">
        <v>79</v>
      </c>
      <c r="F6" s="10" t="s">
        <v>80</v>
      </c>
      <c r="G6" s="10" t="s">
        <v>81</v>
      </c>
      <c r="H6" s="10" t="s">
        <v>82</v>
      </c>
      <c r="I6" s="10" t="s">
        <v>83</v>
      </c>
    </row>
    <row r="7" customFormat="false" ht="30" hidden="false" customHeight="true" outlineLevel="0" collapsed="false">
      <c r="B7" s="18" t="n">
        <f aca="false">COUNTA('Product Backlog'!$A$5:$A$104)</f>
        <v>47</v>
      </c>
      <c r="C7" s="18" t="n">
        <f aca="false">SUMIFS('Product Backlog'!$K$5:$K$104,'Product Backlog'!$M$5:$M$104,"MVP")</f>
        <v>252</v>
      </c>
      <c r="D7" s="18"/>
      <c r="E7" s="18" t="n">
        <f aca="false">SUMIFS('Product Backlog'!$K$5:$K$104,'Product Backlog'!$M$5:$M$104,"MVP",'Product Backlog'!$O$5:$O$104,"Done")</f>
        <v>80</v>
      </c>
      <c r="F7" s="19" t="n">
        <f aca="false">IFERROR(E7/C7,0)</f>
        <v>0.317460317460317</v>
      </c>
      <c r="G7" s="18" t="n">
        <f aca="false">COUNTIFS('Product Backlog'!$O$5:$O$104,"Ready")</f>
        <v>4</v>
      </c>
      <c r="H7" s="20" t="n">
        <f aca="false">COUNTIFS('Product Backlog'!$O$5:$O$104,"Blocked")</f>
        <v>2</v>
      </c>
      <c r="I7" s="21" t="n">
        <f aca="false">COUNTIFS('Product Backlog'!$P$5:$P$104,"No",'Product Backlog'!$O$5:$O$104,"&lt;&gt;Done",'Product Backlog'!$M$5:$M$104,"&lt;&gt;Phase 2")</f>
        <v>1</v>
      </c>
    </row>
    <row r="9" customFormat="false" ht="19.5" hidden="false" customHeight="true" outlineLevel="0" collapsed="false">
      <c r="B9" s="7" t="s">
        <v>84</v>
      </c>
      <c r="C9" s="8"/>
      <c r="D9" s="8"/>
      <c r="E9" s="8"/>
      <c r="F9" s="8"/>
      <c r="G9" s="8"/>
      <c r="H9" s="8"/>
      <c r="I9" s="8"/>
    </row>
    <row r="10" customFormat="false" ht="30" hidden="false" customHeight="true" outlineLevel="0" collapsed="false">
      <c r="B10" s="10" t="s">
        <v>85</v>
      </c>
      <c r="C10" s="10" t="s">
        <v>20</v>
      </c>
      <c r="D10" s="10" t="s">
        <v>86</v>
      </c>
      <c r="E10" s="10" t="s">
        <v>87</v>
      </c>
      <c r="F10" s="10" t="s">
        <v>88</v>
      </c>
      <c r="G10" s="10" t="s">
        <v>89</v>
      </c>
      <c r="H10" s="10" t="s">
        <v>90</v>
      </c>
      <c r="I10" s="10" t="s">
        <v>56</v>
      </c>
    </row>
    <row r="11" customFormat="false" ht="19.5" hidden="false" customHeight="true" outlineLevel="0" collapsed="false">
      <c r="B11" s="13" t="str">
        <f aca="false">IF(Epics!$A$5="","",Epics!$A$5)</f>
        <v>EP-01</v>
      </c>
      <c r="C11" s="12" t="str">
        <f aca="false">IF(Epics!$B$5="","",Epics!$B$5)</f>
        <v>Merchant Access &amp; Onboarding</v>
      </c>
      <c r="D11" s="13" t="n">
        <f aca="false">IF(Epics!$G$5="","",Epics!$G$5)</f>
        <v>5</v>
      </c>
      <c r="E11" s="13" t="n">
        <f aca="false">IF(Epics!$H$5="","",Epics!$H$5)</f>
        <v>28</v>
      </c>
      <c r="F11" s="13" t="n">
        <f aca="false">IF(Epics!$I$5="","",Epics!$I$5)</f>
        <v>5</v>
      </c>
      <c r="G11" s="22" t="n">
        <f aca="false">IF(Epics!$J$5="","",Epics!$J$5)</f>
        <v>0.178571428571429</v>
      </c>
      <c r="H11" s="12" t="str">
        <f aca="false">IF(Epics!$E$5="","",Epics!$E$5)</f>
        <v>Product Owner</v>
      </c>
      <c r="I11" s="13" t="str">
        <f aca="false">IF(Epics!$L$5="","",Epics!$L$5)</f>
        <v>In Progress</v>
      </c>
    </row>
    <row r="12" customFormat="false" ht="19.5" hidden="false" customHeight="true" outlineLevel="0" collapsed="false">
      <c r="B12" s="13" t="str">
        <f aca="false">IF(Epics!$A$6="","",Epics!$A$6)</f>
        <v>EP-02</v>
      </c>
      <c r="C12" s="12" t="str">
        <f aca="false">IF(Epics!$B$6="","",Epics!$B$6)</f>
        <v>Dispute Inbox &amp; Tracking</v>
      </c>
      <c r="D12" s="13" t="n">
        <f aca="false">IF(Epics!$G$6="","",Epics!$G$6)</f>
        <v>6</v>
      </c>
      <c r="E12" s="13" t="n">
        <f aca="false">IF(Epics!$H$6="","",Epics!$H$6)</f>
        <v>32</v>
      </c>
      <c r="F12" s="13" t="n">
        <f aca="false">IF(Epics!$I$6="","",Epics!$I$6)</f>
        <v>27</v>
      </c>
      <c r="G12" s="22" t="n">
        <f aca="false">IF(Epics!$J$6="","",Epics!$J$6)</f>
        <v>0.84375</v>
      </c>
      <c r="H12" s="12" t="str">
        <f aca="false">IF(Epics!$E$6="","",Epics!$E$6)</f>
        <v>Dispute Ops Lead</v>
      </c>
      <c r="I12" s="13" t="str">
        <f aca="false">IF(Epics!$L$6="","",Epics!$L$6)</f>
        <v>In Progress</v>
      </c>
    </row>
    <row r="13" customFormat="false" ht="19.5" hidden="false" customHeight="true" outlineLevel="0" collapsed="false">
      <c r="B13" s="13" t="str">
        <f aca="false">IF(Epics!$A$7="","",Epics!$A$7)</f>
        <v>EP-03</v>
      </c>
      <c r="C13" s="12" t="str">
        <f aca="false">IF(Epics!$B$7="","",Epics!$B$7)</f>
        <v>Evidence Submission</v>
      </c>
      <c r="D13" s="13" t="n">
        <f aca="false">IF(Epics!$G$7="","",Epics!$G$7)</f>
        <v>6</v>
      </c>
      <c r="E13" s="13" t="n">
        <f aca="false">IF(Epics!$H$7="","",Epics!$H$7)</f>
        <v>45</v>
      </c>
      <c r="F13" s="13" t="n">
        <f aca="false">IF(Epics!$I$7="","",Epics!$I$7)</f>
        <v>5</v>
      </c>
      <c r="G13" s="22" t="n">
        <f aca="false">IF(Epics!$J$7="","",Epics!$J$7)</f>
        <v>0.111111111111111</v>
      </c>
      <c r="H13" s="12" t="str">
        <f aca="false">IF(Epics!$E$7="","",Epics!$E$7)</f>
        <v>Dispute Ops Lead</v>
      </c>
      <c r="I13" s="13" t="str">
        <f aca="false">IF(Epics!$L$7="","",Epics!$L$7)</f>
        <v>In Progress</v>
      </c>
    </row>
    <row r="14" customFormat="false" ht="19.5" hidden="false" customHeight="true" outlineLevel="0" collapsed="false">
      <c r="B14" s="13" t="str">
        <f aca="false">IF(Epics!$A$8="","",Epics!$A$8)</f>
        <v>EP-04</v>
      </c>
      <c r="C14" s="12" t="str">
        <f aca="false">IF(Epics!$B$8="","",Epics!$B$8)</f>
        <v>Processor Integration</v>
      </c>
      <c r="D14" s="13" t="n">
        <f aca="false">IF(Epics!$G$8="","",Epics!$G$8)</f>
        <v>7</v>
      </c>
      <c r="E14" s="13" t="n">
        <f aca="false">IF(Epics!$H$8="","",Epics!$H$8)</f>
        <v>47</v>
      </c>
      <c r="F14" s="13" t="n">
        <f aca="false">IF(Epics!$I$8="","",Epics!$I$8)</f>
        <v>16</v>
      </c>
      <c r="G14" s="22" t="n">
        <f aca="false">IF(Epics!$J$8="","",Epics!$J$8)</f>
        <v>0.340425531914894</v>
      </c>
      <c r="H14" s="12" t="str">
        <f aca="false">IF(Epics!$E$8="","",Epics!$E$8)</f>
        <v>Tech Lead</v>
      </c>
      <c r="I14" s="13" t="str">
        <f aca="false">IF(Epics!$L$8="","",Epics!$L$8)</f>
        <v>In Progress</v>
      </c>
    </row>
    <row r="15" customFormat="false" ht="19.5" hidden="false" customHeight="true" outlineLevel="0" collapsed="false">
      <c r="B15" s="13" t="str">
        <f aca="false">IF(Epics!$A$9="","",Epics!$A$9)</f>
        <v>EP-05</v>
      </c>
      <c r="C15" s="12" t="str">
        <f aca="false">IF(Epics!$B$9="","",Epics!$B$9)</f>
        <v>Notifications &amp; Reminders</v>
      </c>
      <c r="D15" s="13" t="n">
        <f aca="false">IF(Epics!$G$9="","",Epics!$G$9)</f>
        <v>2</v>
      </c>
      <c r="E15" s="13" t="n">
        <f aca="false">IF(Epics!$H$9="","",Epics!$H$9)</f>
        <v>10</v>
      </c>
      <c r="F15" s="13" t="n">
        <f aca="false">IF(Epics!$I$9="","",Epics!$I$9)</f>
        <v>0</v>
      </c>
      <c r="G15" s="22" t="n">
        <f aca="false">IF(Epics!$J$9="","",Epics!$J$9)</f>
        <v>0</v>
      </c>
      <c r="H15" s="12" t="str">
        <f aca="false">IF(Epics!$E$9="","",Epics!$E$9)</f>
        <v>Product Owner</v>
      </c>
      <c r="I15" s="13" t="str">
        <f aca="false">IF(Epics!$L$9="","",Epics!$L$9)</f>
        <v>Not Started</v>
      </c>
    </row>
    <row r="16" customFormat="false" ht="19.5" hidden="false" customHeight="true" outlineLevel="0" collapsed="false">
      <c r="B16" s="13" t="str">
        <f aca="false">IF(Epics!$A$10="","",Epics!$A$10)</f>
        <v>EP-06</v>
      </c>
      <c r="C16" s="12" t="str">
        <f aca="false">IF(Epics!$B$10="","",Epics!$B$10)</f>
        <v>Settlement Visibility</v>
      </c>
      <c r="D16" s="13" t="n">
        <f aca="false">IF(Epics!$G$10="","",Epics!$G$10)</f>
        <v>3</v>
      </c>
      <c r="E16" s="13" t="n">
        <f aca="false">IF(Epics!$H$10="","",Epics!$H$10)</f>
        <v>19</v>
      </c>
      <c r="F16" s="13" t="n">
        <f aca="false">IF(Epics!$I$10="","",Epics!$I$10)</f>
        <v>0</v>
      </c>
      <c r="G16" s="22" t="n">
        <f aca="false">IF(Epics!$J$10="","",Epics!$J$10)</f>
        <v>0</v>
      </c>
      <c r="H16" s="12" t="str">
        <f aca="false">IF(Epics!$E$10="","",Epics!$E$10)</f>
        <v>Finance Lead</v>
      </c>
      <c r="I16" s="13" t="str">
        <f aca="false">IF(Epics!$L$10="","",Epics!$L$10)</f>
        <v>Not Started</v>
      </c>
    </row>
    <row r="17" customFormat="false" ht="19.5" hidden="false" customHeight="true" outlineLevel="0" collapsed="false">
      <c r="B17" s="13" t="str">
        <f aca="false">IF(Epics!$A$11="","",Epics!$A$11)</f>
        <v>EP-07</v>
      </c>
      <c r="C17" s="12" t="str">
        <f aca="false">IF(Epics!$B$11="","",Epics!$B$11)</f>
        <v>Reporting &amp; Analytics</v>
      </c>
      <c r="D17" s="13" t="n">
        <f aca="false">IF(Epics!$G$11="","",Epics!$G$11)</f>
        <v>4</v>
      </c>
      <c r="E17" s="13" t="n">
        <f aca="false">IF(Epics!$H$11="","",Epics!$H$11)</f>
        <v>23</v>
      </c>
      <c r="F17" s="13" t="n">
        <f aca="false">IF(Epics!$I$11="","",Epics!$I$11)</f>
        <v>0</v>
      </c>
      <c r="G17" s="22" t="n">
        <f aca="false">IF(Epics!$J$11="","",Epics!$J$11)</f>
        <v>0</v>
      </c>
      <c r="H17" s="12" t="str">
        <f aca="false">IF(Epics!$E$11="","",Epics!$E$11)</f>
        <v>Finance Lead</v>
      </c>
      <c r="I17" s="13" t="str">
        <f aca="false">IF(Epics!$L$11="","",Epics!$L$11)</f>
        <v>Not Started</v>
      </c>
    </row>
    <row r="18" customFormat="false" ht="19.5" hidden="false" customHeight="true" outlineLevel="0" collapsed="false">
      <c r="B18" s="13" t="str">
        <f aca="false">IF(Epics!$A$12="","",Epics!$A$12)</f>
        <v>EP-08</v>
      </c>
      <c r="C18" s="12" t="str">
        <f aca="false">IF(Epics!$B$12="","",Epics!$B$12)</f>
        <v>Internal Ops Workbench</v>
      </c>
      <c r="D18" s="13" t="n">
        <f aca="false">IF(Epics!$G$12="","",Epics!$G$12)</f>
        <v>1</v>
      </c>
      <c r="E18" s="13" t="n">
        <f aca="false">IF(Epics!$H$12="","",Epics!$H$12)</f>
        <v>8</v>
      </c>
      <c r="F18" s="13" t="n">
        <f aca="false">IF(Epics!$I$12="","",Epics!$I$12)</f>
        <v>8</v>
      </c>
      <c r="G18" s="22" t="n">
        <f aca="false">IF(Epics!$J$12="","",Epics!$J$12)</f>
        <v>1</v>
      </c>
      <c r="H18" s="12" t="str">
        <f aca="false">IF(Epics!$E$12="","",Epics!$E$12)</f>
        <v>Dispute Ops Lead</v>
      </c>
      <c r="I18" s="13" t="str">
        <f aca="false">IF(Epics!$L$12="","",Epics!$L$12)</f>
        <v>In Progress</v>
      </c>
    </row>
    <row r="19" customFormat="false" ht="19.5" hidden="false" customHeight="true" outlineLevel="0" collapsed="false">
      <c r="B19" s="13" t="str">
        <f aca="false">IF(Epics!$A$13="","",Epics!$A$13)</f>
        <v>EP-09</v>
      </c>
      <c r="C19" s="12" t="str">
        <f aca="false">IF(Epics!$B$13="","",Epics!$B$13)</f>
        <v>Platform Quality &amp; Compliance</v>
      </c>
      <c r="D19" s="13" t="n">
        <f aca="false">IF(Epics!$G$13="","",Epics!$G$13)</f>
        <v>8</v>
      </c>
      <c r="E19" s="13" t="n">
        <f aca="false">IF(Epics!$H$13="","",Epics!$H$13)</f>
        <v>40</v>
      </c>
      <c r="F19" s="13" t="n">
        <f aca="false">IF(Epics!$I$13="","",Epics!$I$13)</f>
        <v>19</v>
      </c>
      <c r="G19" s="22" t="n">
        <f aca="false">IF(Epics!$J$13="","",Epics!$J$13)</f>
        <v>0.475</v>
      </c>
      <c r="H19" s="12" t="str">
        <f aca="false">IF(Epics!$E$13="","",Epics!$E$13)</f>
        <v>Tech Lead</v>
      </c>
      <c r="I19" s="13" t="str">
        <f aca="false">IF(Epics!$L$13="","",Epics!$L$13)</f>
        <v>In Progress</v>
      </c>
    </row>
    <row r="21" customFormat="false" ht="19.5" hidden="false" customHeight="true" outlineLevel="0" collapsed="false">
      <c r="B21" s="7" t="s">
        <v>91</v>
      </c>
      <c r="C21" s="8"/>
      <c r="D21" s="8"/>
      <c r="E21" s="8"/>
      <c r="F21" s="8"/>
      <c r="G21" s="8"/>
      <c r="H21" s="8"/>
      <c r="I21" s="8"/>
    </row>
    <row r="39" customFormat="false" ht="19.5" hidden="false" customHeight="true" outlineLevel="0" collapsed="false">
      <c r="B39" s="7" t="s">
        <v>92</v>
      </c>
      <c r="C39" s="8"/>
      <c r="D39" s="8"/>
      <c r="E39" s="8"/>
      <c r="F39" s="8"/>
      <c r="G39" s="8"/>
      <c r="H39" s="8"/>
      <c r="I39" s="8"/>
    </row>
    <row r="40" customFormat="false" ht="30" hidden="false" customHeight="true" outlineLevel="0" collapsed="false">
      <c r="B40" s="10" t="s">
        <v>93</v>
      </c>
      <c r="C40" s="10"/>
      <c r="D40" s="10" t="s">
        <v>94</v>
      </c>
      <c r="E40" s="10" t="s">
        <v>45</v>
      </c>
      <c r="F40" s="10" t="s">
        <v>95</v>
      </c>
      <c r="G40" s="10"/>
      <c r="H40" s="10"/>
      <c r="I40" s="10"/>
    </row>
    <row r="41" customFormat="false" ht="15" hidden="false" customHeight="true" outlineLevel="0" collapsed="false">
      <c r="B41" s="11" t="s">
        <v>96</v>
      </c>
      <c r="C41" s="11"/>
      <c r="D41" s="13" t="n">
        <f aca="false">COUNTIFS('Product Backlog'!$I$5:$I$104,"Must",'Product Backlog'!$M$5:$M$104,"MVP")</f>
        <v>32</v>
      </c>
      <c r="E41" s="13" t="n">
        <f aca="false">SUMIFS('Product Backlog'!$K$5:$K$104,'Product Backlog'!$I$5:$I$104,"Must",'Product Backlog'!$M$5:$M$104,"MVP")</f>
        <v>199</v>
      </c>
      <c r="F41" s="22" t="n">
        <f aca="false">IFERROR(E41/$C$7,0)</f>
        <v>0.78968253968254</v>
      </c>
      <c r="G41" s="12" t="s">
        <v>97</v>
      </c>
      <c r="H41" s="12"/>
      <c r="I41" s="12"/>
    </row>
    <row r="42" customFormat="false" ht="15" hidden="false" customHeight="true" outlineLevel="0" collapsed="false">
      <c r="B42" s="11" t="s">
        <v>98</v>
      </c>
      <c r="C42" s="11"/>
      <c r="D42" s="13" t="n">
        <f aca="false">COUNTIFS('Product Backlog'!$I$5:$I$104,"Should",'Product Backlog'!$M$5:$M$104,"MVP")</f>
        <v>9</v>
      </c>
      <c r="E42" s="13" t="n">
        <f aca="false">SUMIFS('Product Backlog'!$K$5:$K$104,'Product Backlog'!$I$5:$I$104,"Should",'Product Backlog'!$M$5:$M$104,"MVP")</f>
        <v>50</v>
      </c>
      <c r="F42" s="22" t="n">
        <f aca="false">IFERROR(E42/$C$7,0)</f>
        <v>0.198412698412698</v>
      </c>
      <c r="G42" s="12" t="s">
        <v>99</v>
      </c>
      <c r="H42" s="12"/>
      <c r="I42" s="12"/>
    </row>
    <row r="43" customFormat="false" ht="15" hidden="false" customHeight="true" outlineLevel="0" collapsed="false">
      <c r="B43" s="11" t="s">
        <v>100</v>
      </c>
      <c r="C43" s="11"/>
      <c r="D43" s="13" t="n">
        <f aca="false">COUNTIFS('Product Backlog'!$I$5:$I$104,"Could",'Product Backlog'!$M$5:$M$104,"MVP")</f>
        <v>1</v>
      </c>
      <c r="E43" s="13" t="n">
        <f aca="false">SUMIFS('Product Backlog'!$K$5:$K$104,'Product Backlog'!$I$5:$I$104,"Could",'Product Backlog'!$M$5:$M$104,"MVP")</f>
        <v>3</v>
      </c>
      <c r="F43" s="22" t="n">
        <f aca="false">IFERROR(E43/$C$7,0)</f>
        <v>0.0119047619047619</v>
      </c>
      <c r="G43" s="12" t="s">
        <v>101</v>
      </c>
      <c r="H43" s="12"/>
      <c r="I43" s="12"/>
    </row>
    <row r="44" customFormat="false" ht="15" hidden="false" customHeight="true" outlineLevel="0" collapsed="false">
      <c r="B44" s="11" t="s">
        <v>102</v>
      </c>
      <c r="C44" s="11"/>
      <c r="D44" s="13" t="n">
        <f aca="false">COUNTIFS('Product Backlog'!$I$5:$I$104,"Won't (this release)")</f>
        <v>3</v>
      </c>
      <c r="E44" s="13" t="n">
        <f aca="false">SUMIFS('Product Backlog'!$K$5:$K$104,'Product Backlog'!$I$5:$I$104,"Won't (this release)")</f>
        <v>63</v>
      </c>
      <c r="F44" s="13" t="s">
        <v>103</v>
      </c>
      <c r="G44" s="12" t="s">
        <v>104</v>
      </c>
      <c r="H44" s="12"/>
      <c r="I44" s="12"/>
    </row>
    <row r="45" customFormat="false" ht="15" hidden="false" customHeight="false" outlineLevel="0" collapsed="false">
      <c r="B45" s="23" t="s">
        <v>105</v>
      </c>
      <c r="C45" s="23"/>
      <c r="D45" s="23"/>
      <c r="E45" s="23"/>
      <c r="F45" s="23"/>
      <c r="G45" s="23"/>
      <c r="H45" s="23"/>
      <c r="I45" s="23"/>
    </row>
    <row r="47" customFormat="false" ht="19.5" hidden="false" customHeight="true" outlineLevel="0" collapsed="false">
      <c r="B47" s="7" t="s">
        <v>82</v>
      </c>
      <c r="C47" s="8"/>
      <c r="D47" s="8"/>
      <c r="E47" s="8"/>
      <c r="F47" s="8"/>
      <c r="G47" s="8"/>
      <c r="H47" s="8"/>
      <c r="I47" s="8"/>
    </row>
    <row r="48" customFormat="false" ht="30" hidden="false" customHeight="true" outlineLevel="0" collapsed="false">
      <c r="B48" s="10" t="s">
        <v>106</v>
      </c>
      <c r="C48" s="10" t="s">
        <v>107</v>
      </c>
      <c r="D48" s="10" t="s">
        <v>59</v>
      </c>
      <c r="E48" s="10" t="s">
        <v>56</v>
      </c>
      <c r="F48" s="10"/>
      <c r="G48" s="10" t="s">
        <v>108</v>
      </c>
      <c r="H48" s="10"/>
      <c r="I48" s="10" t="s">
        <v>109</v>
      </c>
    </row>
    <row r="49" customFormat="false" ht="30" hidden="false" customHeight="true" outlineLevel="0" collapsed="false">
      <c r="B49" s="13" t="str">
        <f aca="false">IFERROR(IF(INDEX('Product Backlog'!$A$5:$A$104,MATCH(SMALL('Product Backlog'!$W$5:$W$104,1),'Product Backlog'!$W$5:$W$104,0))="","",INDEX('Product Backlog'!$A$5:$A$104,MATCH(SMALL('Product Backlog'!$W$5:$W$104,1),'Product Backlog'!$W$5:$W$104,0))),"")</f>
        <v>US-019</v>
      </c>
      <c r="C49" s="12" t="str">
        <f aca="false">IFERROR(IF(INDEX('Product Backlog'!$E$5:$E$104,MATCH(SMALL('Product Backlog'!$W$5:$W$104,1),'Product Backlog'!$W$5:$W$104,0))="","",INDEX('Product Backlog'!$E$5:$E$104,MATCH(SMALL('Product Backlog'!$W$5:$W$104,1),'Product Backlog'!$W$5:$W$104,0))),"")</f>
        <v>Receive status updates via webhooks</v>
      </c>
      <c r="D49" s="13" t="str">
        <f aca="false">IFERROR(IF(INDEX('Product Backlog'!$N$5:$N$104,MATCH(SMALL('Product Backlog'!$W$5:$W$104,1),'Product Backlog'!$W$5:$W$104,0))="","",INDEX('Product Backlog'!$N$5:$N$104,MATCH(SMALL('Product Backlog'!$W$5:$W$104,1),'Product Backlog'!$W$5:$W$104,0))),"")</f>
        <v>Sprint 4</v>
      </c>
      <c r="E49" s="13" t="str">
        <f aca="false">IFERROR(IF(INDEX('Product Backlog'!$O$5:$O$104,MATCH(SMALL('Product Backlog'!$W$5:$W$104,1),'Product Backlog'!$W$5:$W$104,0))="","",INDEX('Product Backlog'!$O$5:$O$104,MATCH(SMALL('Product Backlog'!$W$5:$W$104,1),'Product Backlog'!$W$5:$W$104,0))),"")</f>
        <v>Blocked</v>
      </c>
      <c r="F49" s="13"/>
      <c r="G49" s="12" t="str">
        <f aca="false">IFERROR(IF(INDEX('Product Backlog'!$Q$5:$Q$104,MATCH(SMALL('Product Backlog'!$W$5:$W$104,1),'Product Backlog'!$W$5:$W$104,0))="","",INDEX('Product Backlog'!$Q$5:$Q$104,MATCH(SMALL('Product Backlog'!$W$5:$W$104,1),'Product Backlog'!$W$5:$W$104,0))),"")</f>
        <v>Sandbox returns inconsistent status values (I-01)</v>
      </c>
      <c r="H49" s="12"/>
      <c r="I49" s="13" t="str">
        <f aca="false">IFERROR(IF(INDEX('Product Backlog'!$R$5:$R$104,MATCH(SMALL('Product Backlog'!$W$5:$W$104,1),'Product Backlog'!$W$5:$W$104,0))="","",INDEX('Product Backlog'!$R$5:$R$104,MATCH(SMALL('Product Backlog'!$W$5:$W$104,1),'Product Backlog'!$W$5:$W$104,0))),"")</f>
        <v>I-01, A-02</v>
      </c>
    </row>
    <row r="50" customFormat="false" ht="30" hidden="false" customHeight="true" outlineLevel="0" collapsed="false">
      <c r="B50" s="13" t="str">
        <f aca="false">IFERROR(IF(INDEX('Product Backlog'!$A$5:$A$104,MATCH(SMALL('Product Backlog'!$W$5:$W$104,2),'Product Backlog'!$W$5:$W$104,0))="","",INDEX('Product Backlog'!$A$5:$A$104,MATCH(SMALL('Product Backlog'!$W$5:$W$104,2),'Product Backlog'!$W$5:$W$104,0))),"")</f>
        <v>US-034</v>
      </c>
      <c r="C50" s="12" t="str">
        <f aca="false">IFERROR(IF(INDEX('Product Backlog'!$E$5:$E$104,MATCH(SMALL('Product Backlog'!$W$5:$W$104,2),'Product Backlog'!$W$5:$W$104,0))="","",INDEX('Product Backlog'!$E$5:$E$104,MATCH(SMALL('Product Backlog'!$W$5:$W$104,2),'Product Backlog'!$W$5:$W$104,0))),"")</f>
        <v>Track portal usage in Amplitude</v>
      </c>
      <c r="D50" s="13" t="str">
        <f aca="false">IFERROR(IF(INDEX('Product Backlog'!$N$5:$N$104,MATCH(SMALL('Product Backlog'!$W$5:$W$104,2),'Product Backlog'!$W$5:$W$104,0))="","",INDEX('Product Backlog'!$N$5:$N$104,MATCH(SMALL('Product Backlog'!$W$5:$W$104,2),'Product Backlog'!$W$5:$W$104,0))),"")</f>
        <v>Sprint 6</v>
      </c>
      <c r="E50" s="13" t="str">
        <f aca="false">IFERROR(IF(INDEX('Product Backlog'!$O$5:$O$104,MATCH(SMALL('Product Backlog'!$W$5:$W$104,2),'Product Backlog'!$W$5:$W$104,0))="","",INDEX('Product Backlog'!$O$5:$O$104,MATCH(SMALL('Product Backlog'!$W$5:$W$104,2),'Product Backlog'!$W$5:$W$104,0))),"")</f>
        <v>Blocked</v>
      </c>
      <c r="F50" s="13"/>
      <c r="G50" s="12" t="str">
        <f aca="false">IFERROR(IF(INDEX('Product Backlog'!$Q$5:$Q$104,MATCH(SMALL('Product Backlog'!$W$5:$W$104,2),'Product Backlog'!$W$5:$W$104,0))="","",INDEX('Product Backlog'!$Q$5:$Q$104,MATCH(SMALL('Product Backlog'!$W$5:$W$104,2),'Product Backlog'!$W$5:$W$104,0))),"")</f>
        <v>Tracking plan awaiting data governance approval (I-06)</v>
      </c>
      <c r="H50" s="12"/>
      <c r="I50" s="13" t="str">
        <f aca="false">IFERROR(IF(INDEX('Product Backlog'!$R$5:$R$104,MATCH(SMALL('Product Backlog'!$W$5:$W$104,2),'Product Backlog'!$W$5:$W$104,0))="","",INDEX('Product Backlog'!$R$5:$R$104,MATCH(SMALL('Product Backlog'!$W$5:$W$104,2),'Product Backlog'!$W$5:$W$104,0))),"")</f>
        <v>I-06, R-04</v>
      </c>
    </row>
    <row r="51" customFormat="false" ht="30" hidden="false" customHeight="true" outlineLevel="0" collapsed="false">
      <c r="B51" s="13" t="str">
        <f aca="false">IFERROR(IF(INDEX('Product Backlog'!$A$5:$A$104,MATCH(SMALL('Product Backlog'!$W$5:$W$104,3),'Product Backlog'!$W$5:$W$104,0))="","",INDEX('Product Backlog'!$A$5:$A$104,MATCH(SMALL('Product Backlog'!$W$5:$W$104,3),'Product Backlog'!$W$5:$W$104,0))),"")</f>
        <v/>
      </c>
      <c r="C51" s="12" t="str">
        <f aca="false">IFERROR(IF(INDEX('Product Backlog'!$E$5:$E$104,MATCH(SMALL('Product Backlog'!$W$5:$W$104,3),'Product Backlog'!$W$5:$W$104,0))="","",INDEX('Product Backlog'!$E$5:$E$104,MATCH(SMALL('Product Backlog'!$W$5:$W$104,3),'Product Backlog'!$W$5:$W$104,0))),"")</f>
        <v/>
      </c>
      <c r="D51" s="13" t="str">
        <f aca="false">IFERROR(IF(INDEX('Product Backlog'!$N$5:$N$104,MATCH(SMALL('Product Backlog'!$W$5:$W$104,3),'Product Backlog'!$W$5:$W$104,0))="","",INDEX('Product Backlog'!$N$5:$N$104,MATCH(SMALL('Product Backlog'!$W$5:$W$104,3),'Product Backlog'!$W$5:$W$104,0))),"")</f>
        <v/>
      </c>
      <c r="E51" s="13" t="str">
        <f aca="false">IFERROR(IF(INDEX('Product Backlog'!$O$5:$O$104,MATCH(SMALL('Product Backlog'!$W$5:$W$104,3),'Product Backlog'!$W$5:$W$104,0))="","",INDEX('Product Backlog'!$O$5:$O$104,MATCH(SMALL('Product Backlog'!$W$5:$W$104,3),'Product Backlog'!$W$5:$W$104,0))),"")</f>
        <v/>
      </c>
      <c r="F51" s="13"/>
      <c r="G51" s="12" t="str">
        <f aca="false">IFERROR(IF(INDEX('Product Backlog'!$Q$5:$Q$104,MATCH(SMALL('Product Backlog'!$W$5:$W$104,3),'Product Backlog'!$W$5:$W$104,0))="","",INDEX('Product Backlog'!$Q$5:$Q$104,MATCH(SMALL('Product Backlog'!$W$5:$W$104,3),'Product Backlog'!$W$5:$W$104,0))),"")</f>
        <v/>
      </c>
      <c r="H51" s="12"/>
      <c r="I51" s="13" t="str">
        <f aca="false">IFERROR(IF(INDEX('Product Backlog'!$R$5:$R$104,MATCH(SMALL('Product Backlog'!$W$5:$W$104,3),'Product Backlog'!$W$5:$W$104,0))="","",INDEX('Product Backlog'!$R$5:$R$104,MATCH(SMALL('Product Backlog'!$W$5:$W$104,3),'Product Backlog'!$W$5:$W$104,0))),"")</f>
        <v/>
      </c>
    </row>
    <row r="52" customFormat="false" ht="30" hidden="false" customHeight="true" outlineLevel="0" collapsed="false">
      <c r="B52" s="13" t="str">
        <f aca="false">IFERROR(IF(INDEX('Product Backlog'!$A$5:$A$104,MATCH(SMALL('Product Backlog'!$W$5:$W$104,4),'Product Backlog'!$W$5:$W$104,0))="","",INDEX('Product Backlog'!$A$5:$A$104,MATCH(SMALL('Product Backlog'!$W$5:$W$104,4),'Product Backlog'!$W$5:$W$104,0))),"")</f>
        <v/>
      </c>
      <c r="C52" s="12" t="str">
        <f aca="false">IFERROR(IF(INDEX('Product Backlog'!$E$5:$E$104,MATCH(SMALL('Product Backlog'!$W$5:$W$104,4),'Product Backlog'!$W$5:$W$104,0))="","",INDEX('Product Backlog'!$E$5:$E$104,MATCH(SMALL('Product Backlog'!$W$5:$W$104,4),'Product Backlog'!$W$5:$W$104,0))),"")</f>
        <v/>
      </c>
      <c r="D52" s="13" t="str">
        <f aca="false">IFERROR(IF(INDEX('Product Backlog'!$N$5:$N$104,MATCH(SMALL('Product Backlog'!$W$5:$W$104,4),'Product Backlog'!$W$5:$W$104,0))="","",INDEX('Product Backlog'!$N$5:$N$104,MATCH(SMALL('Product Backlog'!$W$5:$W$104,4),'Product Backlog'!$W$5:$W$104,0))),"")</f>
        <v/>
      </c>
      <c r="E52" s="13" t="str">
        <f aca="false">IFERROR(IF(INDEX('Product Backlog'!$O$5:$O$104,MATCH(SMALL('Product Backlog'!$W$5:$W$104,4),'Product Backlog'!$W$5:$W$104,0))="","",INDEX('Product Backlog'!$O$5:$O$104,MATCH(SMALL('Product Backlog'!$W$5:$W$104,4),'Product Backlog'!$W$5:$W$104,0))),"")</f>
        <v/>
      </c>
      <c r="F52" s="13"/>
      <c r="G52" s="12" t="str">
        <f aca="false">IFERROR(IF(INDEX('Product Backlog'!$Q$5:$Q$104,MATCH(SMALL('Product Backlog'!$W$5:$W$104,4),'Product Backlog'!$W$5:$W$104,0))="","",INDEX('Product Backlog'!$Q$5:$Q$104,MATCH(SMALL('Product Backlog'!$W$5:$W$104,4),'Product Backlog'!$W$5:$W$104,0))),"")</f>
        <v/>
      </c>
      <c r="H52" s="12"/>
      <c r="I52" s="13" t="str">
        <f aca="false">IFERROR(IF(INDEX('Product Backlog'!$R$5:$R$104,MATCH(SMALL('Product Backlog'!$W$5:$W$104,4),'Product Backlog'!$W$5:$W$104,0))="","",INDEX('Product Backlog'!$R$5:$R$104,MATCH(SMALL('Product Backlog'!$W$5:$W$104,4),'Product Backlog'!$W$5:$W$104,0))),"")</f>
        <v/>
      </c>
    </row>
    <row r="53" customFormat="false" ht="30" hidden="false" customHeight="true" outlineLevel="0" collapsed="false">
      <c r="B53" s="13" t="str">
        <f aca="false">IFERROR(IF(INDEX('Product Backlog'!$A$5:$A$104,MATCH(SMALL('Product Backlog'!$W$5:$W$104,5),'Product Backlog'!$W$5:$W$104,0))="","",INDEX('Product Backlog'!$A$5:$A$104,MATCH(SMALL('Product Backlog'!$W$5:$W$104,5),'Product Backlog'!$W$5:$W$104,0))),"")</f>
        <v/>
      </c>
      <c r="C53" s="12" t="str">
        <f aca="false">IFERROR(IF(INDEX('Product Backlog'!$E$5:$E$104,MATCH(SMALL('Product Backlog'!$W$5:$W$104,5),'Product Backlog'!$W$5:$W$104,0))="","",INDEX('Product Backlog'!$E$5:$E$104,MATCH(SMALL('Product Backlog'!$W$5:$W$104,5),'Product Backlog'!$W$5:$W$104,0))),"")</f>
        <v/>
      </c>
      <c r="D53" s="13" t="str">
        <f aca="false">IFERROR(IF(INDEX('Product Backlog'!$N$5:$N$104,MATCH(SMALL('Product Backlog'!$W$5:$W$104,5),'Product Backlog'!$W$5:$W$104,0))="","",INDEX('Product Backlog'!$N$5:$N$104,MATCH(SMALL('Product Backlog'!$W$5:$W$104,5),'Product Backlog'!$W$5:$W$104,0))),"")</f>
        <v/>
      </c>
      <c r="E53" s="13" t="str">
        <f aca="false">IFERROR(IF(INDEX('Product Backlog'!$O$5:$O$104,MATCH(SMALL('Product Backlog'!$W$5:$W$104,5),'Product Backlog'!$W$5:$W$104,0))="","",INDEX('Product Backlog'!$O$5:$O$104,MATCH(SMALL('Product Backlog'!$W$5:$W$104,5),'Product Backlog'!$W$5:$W$104,0))),"")</f>
        <v/>
      </c>
      <c r="F53" s="13"/>
      <c r="G53" s="12" t="str">
        <f aca="false">IFERROR(IF(INDEX('Product Backlog'!$Q$5:$Q$104,MATCH(SMALL('Product Backlog'!$W$5:$W$104,5),'Product Backlog'!$W$5:$W$104,0))="","",INDEX('Product Backlog'!$Q$5:$Q$104,MATCH(SMALL('Product Backlog'!$W$5:$W$104,5),'Product Backlog'!$W$5:$W$104,0))),"")</f>
        <v/>
      </c>
      <c r="H53" s="12"/>
      <c r="I53" s="13" t="str">
        <f aca="false">IFERROR(IF(INDEX('Product Backlog'!$R$5:$R$104,MATCH(SMALL('Product Backlog'!$W$5:$W$104,5),'Product Backlog'!$W$5:$W$104,0))="","",INDEX('Product Backlog'!$R$5:$R$104,MATCH(SMALL('Product Backlog'!$W$5:$W$104,5),'Product Backlog'!$W$5:$W$104,0))),"")</f>
        <v/>
      </c>
    </row>
  </sheetData>
  <mergeCells count="25">
    <mergeCell ref="C6:D6"/>
    <mergeCell ref="C7:D7"/>
    <mergeCell ref="B40:C40"/>
    <mergeCell ref="G40:I40"/>
    <mergeCell ref="B41:C41"/>
    <mergeCell ref="G41:I41"/>
    <mergeCell ref="B42:C42"/>
    <mergeCell ref="G42:I42"/>
    <mergeCell ref="B43:C43"/>
    <mergeCell ref="G43:I43"/>
    <mergeCell ref="B44:C44"/>
    <mergeCell ref="G44:I44"/>
    <mergeCell ref="B45:I45"/>
    <mergeCell ref="E48:F48"/>
    <mergeCell ref="G48:H48"/>
    <mergeCell ref="E49:F49"/>
    <mergeCell ref="G49:H49"/>
    <mergeCell ref="E50:F50"/>
    <mergeCell ref="G50:H50"/>
    <mergeCell ref="E51:F51"/>
    <mergeCell ref="G51:H51"/>
    <mergeCell ref="E52:F52"/>
    <mergeCell ref="G52:H52"/>
    <mergeCell ref="E53:F53"/>
    <mergeCell ref="G53:H53"/>
  </mergeCells>
  <conditionalFormatting sqref="G11:G19">
    <cfRule type="dataBar" priority="2">
      <dataBar showValue="1" minLength="10" maxLength="90">
        <cfvo type="num" val="0"/>
        <cfvo type="num" val="1"/>
        <color rgb="FF5B9BD5"/>
      </dataBar>
      <extLst>
        <ext xmlns:x14="http://schemas.microsoft.com/office/spreadsheetml/2009/9/main" uri="{B025F937-C7B1-47D3-B67F-A62EFF666E3E}">
          <x14:id>{8940A087-6973-4113-B0C4-635F51B1708F}</x14:id>
        </ext>
      </extLst>
    </cfRule>
  </conditionalFormatting>
  <conditionalFormatting sqref="I11:I19">
    <cfRule type="cellIs" priority="3" operator="equal" aboveAverage="0" equalAverage="0" bottom="0" percent="0" rank="0" text="" dxfId="0">
      <formula>"In Progress"</formula>
    </cfRule>
    <cfRule type="cellIs" priority="4" operator="equal" aboveAverage="0" equalAverage="0" bottom="0" percent="0" rank="0" text="" dxfId="1">
      <formula>"Done"</formula>
    </cfRule>
  </conditionalFormatting>
  <conditionalFormatting sqref="E49:E53">
    <cfRule type="cellIs" priority="5" operator="equal" aboveAverage="0" equalAverage="0" bottom="0" percent="0" rank="0" text="" dxfId="2">
      <formula>"Blocked"</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8940A087-6973-4113-B0C4-635F51B1708F}">
            <x14:dataBar minLength="10" maxLength="90" axisPosition="none" gradient="true">
              <x14:cfvo type="num">
                <xm:f>0</xm:f>
              </x14:cfvo>
              <x14:cfvo type="num">
                <xm:f>1</xm:f>
              </x14:cfvo>
              <x14:negativeFillColor rgb="FF5B9BD5"/>
              <x14:axisColor rgb="FF000000"/>
            </x14:dataBar>
          </x14:cfRule>
          <xm:sqref>G11:G19</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W1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4" topLeftCell="F5" activePane="bottomRight" state="frozen"/>
      <selection pane="topLeft" activeCell="A1" activeCellId="0" sqref="A1"/>
      <selection pane="topRight" activeCell="F1" activeCellId="0" sqref="F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9"/>
    <col collapsed="false" customWidth="true" hidden="false" outlineLevel="0" max="3" min="3" style="0" width="8"/>
    <col collapsed="false" customWidth="true" hidden="false" outlineLevel="0" max="4" min="4" style="0" width="18"/>
    <col collapsed="false" customWidth="true" hidden="false" outlineLevel="0" max="5" min="5" style="0" width="26"/>
    <col collapsed="false" customWidth="true" hidden="false" outlineLevel="0" max="6" min="6" style="0" width="40"/>
    <col collapsed="false" customWidth="true" hidden="false" outlineLevel="0" max="7" min="7" style="0" width="58"/>
    <col collapsed="false" customWidth="true" hidden="false" outlineLevel="0" max="8" min="8" style="0" width="16"/>
    <col collapsed="false" customWidth="true" hidden="false" outlineLevel="0" max="9" min="9" style="0" width="11"/>
    <col collapsed="false" customWidth="true" hidden="false" outlineLevel="0" max="10" min="10" style="0" width="9"/>
    <col collapsed="false" customWidth="true" hidden="false" outlineLevel="0" max="12" min="11" style="0" width="8"/>
    <col collapsed="false" customWidth="true" hidden="false" outlineLevel="0" max="13" min="13" style="0" width="9"/>
    <col collapsed="false" customWidth="true" hidden="false" outlineLevel="0" max="14" min="14" style="0" width="10"/>
    <col collapsed="false" customWidth="true" hidden="false" outlineLevel="0" max="15" min="15" style="0" width="11"/>
    <col collapsed="false" customWidth="true" hidden="false" outlineLevel="0" max="16" min="16" style="0" width="10"/>
    <col collapsed="false" customWidth="true" hidden="false" outlineLevel="0" max="17" min="17" style="0" width="28"/>
    <col collapsed="false" customWidth="true" hidden="false" outlineLevel="0" max="18" min="18" style="0" width="13"/>
    <col collapsed="false" customWidth="true" hidden="false" outlineLevel="0" max="19" min="19" style="0" width="12"/>
    <col collapsed="false" customWidth="true" hidden="false" outlineLevel="0" max="20" min="20" style="0" width="13"/>
    <col collapsed="false" customWidth="true" hidden="false" outlineLevel="0" max="21" min="21" style="0" width="28"/>
    <col collapsed="false" customWidth="true" hidden="false" outlineLevel="0" max="22" min="22" style="0" width="12"/>
    <col collapsed="false" customWidth="true" hidden="true" outlineLevel="0" max="23" min="23" style="0" width="6"/>
  </cols>
  <sheetData>
    <row r="1" customFormat="false" ht="19.7" hidden="false" customHeight="false" outlineLevel="0" collapsed="false">
      <c r="A1" s="24" t="s">
        <v>0</v>
      </c>
    </row>
    <row r="2" customFormat="false" ht="15" hidden="false" customHeight="false" outlineLevel="0" collapsed="false">
      <c r="A2" s="16" t="s">
        <v>110</v>
      </c>
    </row>
    <row r="3" customFormat="false" ht="15" hidden="false" customHeight="false" outlineLevel="0" collapsed="false">
      <c r="A3" s="25" t="s">
        <v>111</v>
      </c>
    </row>
    <row r="4" customFormat="false" ht="39.75" hidden="false" customHeight="true" outlineLevel="0" collapsed="false">
      <c r="A4" s="26" t="s">
        <v>106</v>
      </c>
      <c r="B4" s="26" t="s">
        <v>112</v>
      </c>
      <c r="C4" s="26" t="s">
        <v>85</v>
      </c>
      <c r="D4" s="27" t="s">
        <v>113</v>
      </c>
      <c r="E4" s="26" t="s">
        <v>107</v>
      </c>
      <c r="F4" s="26" t="s">
        <v>114</v>
      </c>
      <c r="G4" s="26" t="s">
        <v>115</v>
      </c>
      <c r="H4" s="26" t="s">
        <v>116</v>
      </c>
      <c r="I4" s="26" t="s">
        <v>47</v>
      </c>
      <c r="J4" s="26" t="s">
        <v>117</v>
      </c>
      <c r="K4" s="26" t="s">
        <v>118</v>
      </c>
      <c r="L4" s="27" t="s">
        <v>119</v>
      </c>
      <c r="M4" s="26" t="s">
        <v>9</v>
      </c>
      <c r="N4" s="26" t="s">
        <v>59</v>
      </c>
      <c r="O4" s="26" t="s">
        <v>56</v>
      </c>
      <c r="P4" s="27" t="s">
        <v>120</v>
      </c>
      <c r="Q4" s="26" t="s">
        <v>121</v>
      </c>
      <c r="R4" s="26" t="s">
        <v>122</v>
      </c>
      <c r="S4" s="26" t="s">
        <v>123</v>
      </c>
      <c r="T4" s="26" t="s">
        <v>124</v>
      </c>
      <c r="U4" s="26" t="s">
        <v>125</v>
      </c>
      <c r="V4" s="26" t="s">
        <v>126</v>
      </c>
      <c r="W4" s="27" t="s">
        <v>127</v>
      </c>
    </row>
    <row r="5" customFormat="false" ht="96.75" hidden="false" customHeight="true" outlineLevel="0" collapsed="false">
      <c r="A5" s="13" t="s">
        <v>128</v>
      </c>
      <c r="B5" s="13" t="s">
        <v>22</v>
      </c>
      <c r="C5" s="13" t="s">
        <v>129</v>
      </c>
      <c r="D5" s="28" t="str">
        <f aca="false">IF(C5="","",IFERROR(INDEX(Epics!$B$5:$B$24,MATCH(C5,Epics!$A$5:$A$24,0)),"Unknown epic"))</f>
        <v>Merchant Access &amp; Onboarding</v>
      </c>
      <c r="E5" s="12" t="s">
        <v>130</v>
      </c>
      <c r="F5" s="12" t="s">
        <v>131</v>
      </c>
      <c r="G5" s="12" t="s">
        <v>132</v>
      </c>
      <c r="H5" s="12" t="s">
        <v>133</v>
      </c>
      <c r="I5" s="13" t="s">
        <v>96</v>
      </c>
      <c r="J5" s="13" t="n">
        <v>9</v>
      </c>
      <c r="K5" s="13" t="n">
        <v>5</v>
      </c>
      <c r="L5" s="29" t="n">
        <f aca="false">IF(OR(J5="",K5="",N(K5)=0),"",ROUND(J5/K5,2))</f>
        <v>1.8</v>
      </c>
      <c r="M5" s="13" t="s">
        <v>134</v>
      </c>
      <c r="N5" s="13" t="s">
        <v>135</v>
      </c>
      <c r="O5" s="13" t="s">
        <v>136</v>
      </c>
      <c r="P5" s="30" t="str">
        <f aca="false">IF(A5="","",IF(AND(F5&lt;&gt;"",G5&lt;&gt;"",H5&lt;&gt;"",I5&lt;&gt;"",K5&lt;&gt;""),"Yes","No"))</f>
        <v>Yes</v>
      </c>
      <c r="Q5" s="12"/>
      <c r="R5" s="13" t="s">
        <v>137</v>
      </c>
      <c r="S5" s="13" t="s">
        <v>138</v>
      </c>
      <c r="T5" s="13" t="s">
        <v>139</v>
      </c>
      <c r="U5" s="12"/>
      <c r="V5" s="14" t="n">
        <v>46275</v>
      </c>
      <c r="W5" s="29" t="str">
        <f aca="false">IF(O5="Blocked",ROW(),"")</f>
        <v/>
      </c>
    </row>
    <row r="6" customFormat="false" ht="84" hidden="false" customHeight="true" outlineLevel="0" collapsed="false">
      <c r="A6" s="13" t="s">
        <v>140</v>
      </c>
      <c r="B6" s="13" t="s">
        <v>22</v>
      </c>
      <c r="C6" s="13" t="s">
        <v>129</v>
      </c>
      <c r="D6" s="28" t="str">
        <f aca="false">IF(C6="","",IFERROR(INDEX(Epics!$B$5:$B$24,MATCH(C6,Epics!$A$5:$A$24,0)),"Unknown epic"))</f>
        <v>Merchant Access &amp; Onboarding</v>
      </c>
      <c r="E6" s="12" t="s">
        <v>141</v>
      </c>
      <c r="F6" s="12" t="s">
        <v>142</v>
      </c>
      <c r="G6" s="12" t="s">
        <v>143</v>
      </c>
      <c r="H6" s="12" t="s">
        <v>144</v>
      </c>
      <c r="I6" s="13" t="s">
        <v>96</v>
      </c>
      <c r="J6" s="13" t="n">
        <v>8</v>
      </c>
      <c r="K6" s="13" t="n">
        <v>8</v>
      </c>
      <c r="L6" s="29" t="n">
        <f aca="false">IF(OR(J6="",K6="",N(K6)=0),"",ROUND(J6/K6,2))</f>
        <v>1</v>
      </c>
      <c r="M6" s="13" t="s">
        <v>134</v>
      </c>
      <c r="N6" s="13" t="s">
        <v>145</v>
      </c>
      <c r="O6" s="13" t="s">
        <v>146</v>
      </c>
      <c r="P6" s="30" t="str">
        <f aca="false">IF(A6="","",IF(AND(F6&lt;&gt;"",G6&lt;&gt;"",H6&lt;&gt;"",I6&lt;&gt;"",K6&lt;&gt;""),"Yes","No"))</f>
        <v>Yes</v>
      </c>
      <c r="Q6" s="12" t="s">
        <v>147</v>
      </c>
      <c r="R6" s="13" t="s">
        <v>148</v>
      </c>
      <c r="S6" s="13" t="s">
        <v>138</v>
      </c>
      <c r="T6" s="13" t="s">
        <v>139</v>
      </c>
      <c r="U6" s="12"/>
      <c r="V6" s="14" t="n">
        <v>46275</v>
      </c>
      <c r="W6" s="29" t="str">
        <f aca="false">IF(O6="Blocked",ROW(),"")</f>
        <v/>
      </c>
    </row>
    <row r="7" customFormat="false" ht="57.75" hidden="false" customHeight="true" outlineLevel="0" collapsed="false">
      <c r="A7" s="13" t="s">
        <v>149</v>
      </c>
      <c r="B7" s="13" t="s">
        <v>22</v>
      </c>
      <c r="C7" s="13" t="s">
        <v>129</v>
      </c>
      <c r="D7" s="28" t="str">
        <f aca="false">IF(C7="","",IFERROR(INDEX(Epics!$B$5:$B$24,MATCH(C7,Epics!$A$5:$A$24,0)),"Unknown epic"))</f>
        <v>Merchant Access &amp; Onboarding</v>
      </c>
      <c r="E7" s="12" t="s">
        <v>150</v>
      </c>
      <c r="F7" s="12" t="s">
        <v>151</v>
      </c>
      <c r="G7" s="12" t="s">
        <v>152</v>
      </c>
      <c r="H7" s="12" t="s">
        <v>144</v>
      </c>
      <c r="I7" s="13" t="s">
        <v>96</v>
      </c>
      <c r="J7" s="13" t="n">
        <v>8</v>
      </c>
      <c r="K7" s="13" t="n">
        <v>5</v>
      </c>
      <c r="L7" s="29" t="n">
        <f aca="false">IF(OR(J7="",K7="",N(K7)=0),"",ROUND(J7/K7,2))</f>
        <v>1.6</v>
      </c>
      <c r="M7" s="13" t="s">
        <v>134</v>
      </c>
      <c r="N7" s="13" t="s">
        <v>145</v>
      </c>
      <c r="O7" s="13" t="s">
        <v>146</v>
      </c>
      <c r="P7" s="30" t="str">
        <f aca="false">IF(A7="","",IF(AND(F7&lt;&gt;"",G7&lt;&gt;"",H7&lt;&gt;"",I7&lt;&gt;"",K7&lt;&gt;""),"Yes","No"))</f>
        <v>Yes</v>
      </c>
      <c r="Q7" s="12" t="s">
        <v>153</v>
      </c>
      <c r="R7" s="13" t="s">
        <v>154</v>
      </c>
      <c r="S7" s="13" t="s">
        <v>138</v>
      </c>
      <c r="T7" s="13" t="s">
        <v>139</v>
      </c>
      <c r="U7" s="12"/>
      <c r="V7" s="14" t="n">
        <v>46275</v>
      </c>
      <c r="W7" s="29" t="str">
        <f aca="false">IF(O7="Blocked",ROW(),"")</f>
        <v/>
      </c>
    </row>
    <row r="8" customFormat="false" ht="96.75" hidden="false" customHeight="true" outlineLevel="0" collapsed="false">
      <c r="A8" s="13" t="s">
        <v>155</v>
      </c>
      <c r="B8" s="13" t="s">
        <v>22</v>
      </c>
      <c r="C8" s="13" t="s">
        <v>129</v>
      </c>
      <c r="D8" s="28" t="str">
        <f aca="false">IF(C8="","",IFERROR(INDEX(Epics!$B$5:$B$24,MATCH(C8,Epics!$A$5:$A$24,0)),"Unknown epic"))</f>
        <v>Merchant Access &amp; Onboarding</v>
      </c>
      <c r="E8" s="12" t="s">
        <v>156</v>
      </c>
      <c r="F8" s="12" t="s">
        <v>157</v>
      </c>
      <c r="G8" s="12" t="s">
        <v>158</v>
      </c>
      <c r="H8" s="12" t="s">
        <v>159</v>
      </c>
      <c r="I8" s="13" t="s">
        <v>96</v>
      </c>
      <c r="J8" s="13" t="n">
        <v>7</v>
      </c>
      <c r="K8" s="13" t="n">
        <v>5</v>
      </c>
      <c r="L8" s="29" t="n">
        <f aca="false">IF(OR(J8="",K8="",N(K8)=0),"",ROUND(J8/K8,2))</f>
        <v>1.4</v>
      </c>
      <c r="M8" s="13" t="s">
        <v>134</v>
      </c>
      <c r="N8" s="13" t="s">
        <v>160</v>
      </c>
      <c r="O8" s="13" t="s">
        <v>146</v>
      </c>
      <c r="P8" s="30" t="str">
        <f aca="false">IF(A8="","",IF(AND(F8&lt;&gt;"",G8&lt;&gt;"",H8&lt;&gt;"",I8&lt;&gt;"",K8&lt;&gt;""),"Yes","No"))</f>
        <v>Yes</v>
      </c>
      <c r="Q8" s="12"/>
      <c r="R8" s="13" t="s">
        <v>161</v>
      </c>
      <c r="S8" s="13" t="s">
        <v>162</v>
      </c>
      <c r="T8" s="13" t="s">
        <v>139</v>
      </c>
      <c r="U8" s="12"/>
      <c r="V8" s="14" t="n">
        <v>46275</v>
      </c>
      <c r="W8" s="29" t="str">
        <f aca="false">IF(O8="Blocked",ROW(),"")</f>
        <v/>
      </c>
    </row>
    <row r="9" customFormat="false" ht="96.75" hidden="false" customHeight="true" outlineLevel="0" collapsed="false">
      <c r="A9" s="13" t="s">
        <v>163</v>
      </c>
      <c r="B9" s="13" t="s">
        <v>22</v>
      </c>
      <c r="C9" s="13" t="s">
        <v>129</v>
      </c>
      <c r="D9" s="28" t="str">
        <f aca="false">IF(C9="","",IFERROR(INDEX(Epics!$B$5:$B$24,MATCH(C9,Epics!$A$5:$A$24,0)),"Unknown epic"))</f>
        <v>Merchant Access &amp; Onboarding</v>
      </c>
      <c r="E9" s="12" t="s">
        <v>164</v>
      </c>
      <c r="F9" s="12" t="s">
        <v>165</v>
      </c>
      <c r="G9" s="12" t="s">
        <v>166</v>
      </c>
      <c r="H9" s="12" t="s">
        <v>144</v>
      </c>
      <c r="I9" s="13" t="s">
        <v>98</v>
      </c>
      <c r="J9" s="13" t="n">
        <v>7</v>
      </c>
      <c r="K9" s="13" t="n">
        <v>5</v>
      </c>
      <c r="L9" s="29" t="n">
        <f aca="false">IF(OR(J9="",K9="",N(K9)=0),"",ROUND(J9/K9,2))</f>
        <v>1.4</v>
      </c>
      <c r="M9" s="13" t="s">
        <v>134</v>
      </c>
      <c r="N9" s="13" t="s">
        <v>167</v>
      </c>
      <c r="O9" s="13" t="s">
        <v>168</v>
      </c>
      <c r="P9" s="30" t="str">
        <f aca="false">IF(A9="","",IF(AND(F9&lt;&gt;"",G9&lt;&gt;"",H9&lt;&gt;"",I9&lt;&gt;"",K9&lt;&gt;""),"Yes","No"))</f>
        <v>Yes</v>
      </c>
      <c r="Q9" s="12"/>
      <c r="R9" s="13" t="s">
        <v>169</v>
      </c>
      <c r="S9" s="13" t="s">
        <v>170</v>
      </c>
      <c r="T9" s="13" t="s">
        <v>139</v>
      </c>
      <c r="U9" s="12"/>
      <c r="V9" s="14" t="n">
        <v>46275</v>
      </c>
      <c r="W9" s="29" t="str">
        <f aca="false">IF(O9="Blocked",ROW(),"")</f>
        <v/>
      </c>
    </row>
    <row r="10" customFormat="false" ht="84" hidden="false" customHeight="true" outlineLevel="0" collapsed="false">
      <c r="A10" s="13" t="s">
        <v>171</v>
      </c>
      <c r="B10" s="13" t="s">
        <v>22</v>
      </c>
      <c r="C10" s="13" t="s">
        <v>172</v>
      </c>
      <c r="D10" s="28" t="str">
        <f aca="false">IF(C10="","",IFERROR(INDEX(Epics!$B$5:$B$24,MATCH(C10,Epics!$A$5:$A$24,0)),"Unknown epic"))</f>
        <v>Dispute Inbox &amp; Tracking</v>
      </c>
      <c r="E10" s="12" t="s">
        <v>173</v>
      </c>
      <c r="F10" s="12" t="s">
        <v>174</v>
      </c>
      <c r="G10" s="12" t="s">
        <v>175</v>
      </c>
      <c r="H10" s="12" t="s">
        <v>176</v>
      </c>
      <c r="I10" s="13" t="s">
        <v>96</v>
      </c>
      <c r="J10" s="13" t="n">
        <v>10</v>
      </c>
      <c r="K10" s="13" t="n">
        <v>8</v>
      </c>
      <c r="L10" s="29" t="n">
        <f aca="false">IF(OR(J10="",K10="",N(K10)=0),"",ROUND(J10/K10,2))</f>
        <v>1.25</v>
      </c>
      <c r="M10" s="13" t="s">
        <v>134</v>
      </c>
      <c r="N10" s="13" t="s">
        <v>177</v>
      </c>
      <c r="O10" s="13" t="s">
        <v>136</v>
      </c>
      <c r="P10" s="30" t="str">
        <f aca="false">IF(A10="","",IF(AND(F10&lt;&gt;"",G10&lt;&gt;"",H10&lt;&gt;"",I10&lt;&gt;"",K10&lt;&gt;""),"Yes","No"))</f>
        <v>Yes</v>
      </c>
      <c r="Q10" s="12"/>
      <c r="R10" s="13"/>
      <c r="S10" s="13" t="s">
        <v>170</v>
      </c>
      <c r="T10" s="13" t="s">
        <v>139</v>
      </c>
      <c r="U10" s="12"/>
      <c r="V10" s="14" t="n">
        <v>46275</v>
      </c>
      <c r="W10" s="29" t="str">
        <f aca="false">IF(O10="Blocked",ROW(),"")</f>
        <v/>
      </c>
    </row>
    <row r="11" customFormat="false" ht="70.5" hidden="false" customHeight="true" outlineLevel="0" collapsed="false">
      <c r="A11" s="13" t="s">
        <v>178</v>
      </c>
      <c r="B11" s="13" t="s">
        <v>22</v>
      </c>
      <c r="C11" s="13" t="s">
        <v>172</v>
      </c>
      <c r="D11" s="28" t="str">
        <f aca="false">IF(C11="","",IFERROR(INDEX(Epics!$B$5:$B$24,MATCH(C11,Epics!$A$5:$A$24,0)),"Unknown epic"))</f>
        <v>Dispute Inbox &amp; Tracking</v>
      </c>
      <c r="E11" s="12" t="s">
        <v>179</v>
      </c>
      <c r="F11" s="12" t="s">
        <v>180</v>
      </c>
      <c r="G11" s="12" t="s">
        <v>181</v>
      </c>
      <c r="H11" s="12" t="s">
        <v>176</v>
      </c>
      <c r="I11" s="13" t="s">
        <v>98</v>
      </c>
      <c r="J11" s="13" t="n">
        <v>6</v>
      </c>
      <c r="K11" s="13" t="n">
        <v>3</v>
      </c>
      <c r="L11" s="29" t="n">
        <f aca="false">IF(OR(J11="",K11="",N(K11)=0),"",ROUND(J11/K11,2))</f>
        <v>2</v>
      </c>
      <c r="M11" s="13" t="s">
        <v>134</v>
      </c>
      <c r="N11" s="13" t="s">
        <v>177</v>
      </c>
      <c r="O11" s="13" t="s">
        <v>136</v>
      </c>
      <c r="P11" s="30" t="str">
        <f aca="false">IF(A11="","",IF(AND(F11&lt;&gt;"",G11&lt;&gt;"",H11&lt;&gt;"",I11&lt;&gt;"",K11&lt;&gt;""),"Yes","No"))</f>
        <v>Yes</v>
      </c>
      <c r="Q11" s="12"/>
      <c r="R11" s="13" t="s">
        <v>182</v>
      </c>
      <c r="S11" s="13" t="s">
        <v>183</v>
      </c>
      <c r="T11" s="13" t="s">
        <v>139</v>
      </c>
      <c r="U11" s="12"/>
      <c r="V11" s="14" t="n">
        <v>46275</v>
      </c>
      <c r="W11" s="29" t="str">
        <f aca="false">IF(O11="Blocked",ROW(),"")</f>
        <v/>
      </c>
    </row>
    <row r="12" customFormat="false" ht="84" hidden="false" customHeight="true" outlineLevel="0" collapsed="false">
      <c r="A12" s="13" t="s">
        <v>184</v>
      </c>
      <c r="B12" s="13" t="s">
        <v>22</v>
      </c>
      <c r="C12" s="13" t="s">
        <v>172</v>
      </c>
      <c r="D12" s="28" t="str">
        <f aca="false">IF(C12="","",IFERROR(INDEX(Epics!$B$5:$B$24,MATCH(C12,Epics!$A$5:$A$24,0)),"Unknown epic"))</f>
        <v>Dispute Inbox &amp; Tracking</v>
      </c>
      <c r="E12" s="12" t="s">
        <v>185</v>
      </c>
      <c r="F12" s="12" t="s">
        <v>186</v>
      </c>
      <c r="G12" s="12" t="s">
        <v>187</v>
      </c>
      <c r="H12" s="12" t="s">
        <v>176</v>
      </c>
      <c r="I12" s="13" t="s">
        <v>98</v>
      </c>
      <c r="J12" s="13" t="n">
        <v>7</v>
      </c>
      <c r="K12" s="13" t="n">
        <v>5</v>
      </c>
      <c r="L12" s="29" t="n">
        <f aca="false">IF(OR(J12="",K12="",N(K12)=0),"",ROUND(J12/K12,2))</f>
        <v>1.4</v>
      </c>
      <c r="M12" s="13" t="s">
        <v>134</v>
      </c>
      <c r="N12" s="13" t="s">
        <v>188</v>
      </c>
      <c r="O12" s="13" t="s">
        <v>136</v>
      </c>
      <c r="P12" s="30" t="str">
        <f aca="false">IF(A12="","",IF(AND(F12&lt;&gt;"",G12&lt;&gt;"",H12&lt;&gt;"",I12&lt;&gt;"",K12&lt;&gt;""),"Yes","No"))</f>
        <v>Yes</v>
      </c>
      <c r="Q12" s="12"/>
      <c r="R12" s="13"/>
      <c r="S12" s="13" t="s">
        <v>170</v>
      </c>
      <c r="T12" s="13" t="s">
        <v>139</v>
      </c>
      <c r="U12" s="12"/>
      <c r="V12" s="14" t="n">
        <v>46275</v>
      </c>
      <c r="W12" s="29" t="str">
        <f aca="false">IF(O12="Blocked",ROW(),"")</f>
        <v/>
      </c>
    </row>
    <row r="13" customFormat="false" ht="70.5" hidden="false" customHeight="true" outlineLevel="0" collapsed="false">
      <c r="A13" s="13" t="s">
        <v>189</v>
      </c>
      <c r="B13" s="13" t="s">
        <v>22</v>
      </c>
      <c r="C13" s="13" t="s">
        <v>172</v>
      </c>
      <c r="D13" s="28" t="str">
        <f aca="false">IF(C13="","",IFERROR(INDEX(Epics!$B$5:$B$24,MATCH(C13,Epics!$A$5:$A$24,0)),"Unknown epic"))</f>
        <v>Dispute Inbox &amp; Tracking</v>
      </c>
      <c r="E13" s="12" t="s">
        <v>190</v>
      </c>
      <c r="F13" s="12" t="s">
        <v>191</v>
      </c>
      <c r="G13" s="12" t="s">
        <v>192</v>
      </c>
      <c r="H13" s="12" t="s">
        <v>176</v>
      </c>
      <c r="I13" s="13" t="s">
        <v>96</v>
      </c>
      <c r="J13" s="13" t="n">
        <v>9</v>
      </c>
      <c r="K13" s="13" t="n">
        <v>8</v>
      </c>
      <c r="L13" s="29" t="n">
        <f aca="false">IF(OR(J13="",K13="",N(K13)=0),"",ROUND(J13/K13,2))</f>
        <v>1.13</v>
      </c>
      <c r="M13" s="13" t="s">
        <v>134</v>
      </c>
      <c r="N13" s="13" t="s">
        <v>188</v>
      </c>
      <c r="O13" s="13" t="s">
        <v>136</v>
      </c>
      <c r="P13" s="30" t="str">
        <f aca="false">IF(A13="","",IF(AND(F13&lt;&gt;"",G13&lt;&gt;"",H13&lt;&gt;"",I13&lt;&gt;"",K13&lt;&gt;""),"Yes","No"))</f>
        <v>Yes</v>
      </c>
      <c r="Q13" s="12"/>
      <c r="R13" s="13"/>
      <c r="S13" s="13" t="s">
        <v>170</v>
      </c>
      <c r="T13" s="13" t="s">
        <v>139</v>
      </c>
      <c r="U13" s="12"/>
      <c r="V13" s="14" t="n">
        <v>46275</v>
      </c>
      <c r="W13" s="29" t="str">
        <f aca="false">IF(O13="Blocked",ROW(),"")</f>
        <v/>
      </c>
    </row>
    <row r="14" customFormat="false" ht="70.5" hidden="false" customHeight="true" outlineLevel="0" collapsed="false">
      <c r="A14" s="13" t="s">
        <v>193</v>
      </c>
      <c r="B14" s="13" t="s">
        <v>22</v>
      </c>
      <c r="C14" s="13" t="s">
        <v>172</v>
      </c>
      <c r="D14" s="28" t="str">
        <f aca="false">IF(C14="","",IFERROR(INDEX(Epics!$B$5:$B$24,MATCH(C14,Epics!$A$5:$A$24,0)),"Unknown epic"))</f>
        <v>Dispute Inbox &amp; Tracking</v>
      </c>
      <c r="E14" s="12" t="s">
        <v>194</v>
      </c>
      <c r="F14" s="12" t="s">
        <v>195</v>
      </c>
      <c r="G14" s="12" t="s">
        <v>196</v>
      </c>
      <c r="H14" s="12" t="s">
        <v>176</v>
      </c>
      <c r="I14" s="13" t="s">
        <v>96</v>
      </c>
      <c r="J14" s="13" t="n">
        <v>7</v>
      </c>
      <c r="K14" s="13" t="n">
        <v>3</v>
      </c>
      <c r="L14" s="29" t="n">
        <f aca="false">IF(OR(J14="",K14="",N(K14)=0),"",ROUND(J14/K14,2))</f>
        <v>2.33</v>
      </c>
      <c r="M14" s="13" t="s">
        <v>134</v>
      </c>
      <c r="N14" s="13" t="s">
        <v>197</v>
      </c>
      <c r="O14" s="13" t="s">
        <v>136</v>
      </c>
      <c r="P14" s="30" t="str">
        <f aca="false">IF(A14="","",IF(AND(F14&lt;&gt;"",G14&lt;&gt;"",H14&lt;&gt;"",I14&lt;&gt;"",K14&lt;&gt;""),"Yes","No"))</f>
        <v>Yes</v>
      </c>
      <c r="Q14" s="12"/>
      <c r="R14" s="13" t="s">
        <v>198</v>
      </c>
      <c r="S14" s="13" t="s">
        <v>170</v>
      </c>
      <c r="T14" s="13" t="s">
        <v>139</v>
      </c>
      <c r="U14" s="12" t="s">
        <v>199</v>
      </c>
      <c r="V14" s="14" t="n">
        <v>46275</v>
      </c>
      <c r="W14" s="29" t="str">
        <f aca="false">IF(O14="Blocked",ROW(),"")</f>
        <v/>
      </c>
    </row>
    <row r="15" customFormat="false" ht="84" hidden="false" customHeight="true" outlineLevel="0" collapsed="false">
      <c r="A15" s="13" t="s">
        <v>200</v>
      </c>
      <c r="B15" s="13" t="s">
        <v>22</v>
      </c>
      <c r="C15" s="13" t="s">
        <v>172</v>
      </c>
      <c r="D15" s="28" t="str">
        <f aca="false">IF(C15="","",IFERROR(INDEX(Epics!$B$5:$B$24,MATCH(C15,Epics!$A$5:$A$24,0)),"Unknown epic"))</f>
        <v>Dispute Inbox &amp; Tracking</v>
      </c>
      <c r="E15" s="12" t="s">
        <v>201</v>
      </c>
      <c r="F15" s="12" t="s">
        <v>202</v>
      </c>
      <c r="G15" s="12" t="s">
        <v>203</v>
      </c>
      <c r="H15" s="12" t="s">
        <v>176</v>
      </c>
      <c r="I15" s="13" t="s">
        <v>96</v>
      </c>
      <c r="J15" s="13" t="n">
        <v>9</v>
      </c>
      <c r="K15" s="13" t="n">
        <v>5</v>
      </c>
      <c r="L15" s="29" t="n">
        <f aca="false">IF(OR(J15="",K15="",N(K15)=0),"",ROUND(J15/K15,2))</f>
        <v>1.8</v>
      </c>
      <c r="M15" s="13" t="s">
        <v>134</v>
      </c>
      <c r="N15" s="13" t="s">
        <v>197</v>
      </c>
      <c r="O15" s="13" t="s">
        <v>204</v>
      </c>
      <c r="P15" s="30" t="str">
        <f aca="false">IF(A15="","",IF(AND(F15&lt;&gt;"",G15&lt;&gt;"",H15&lt;&gt;"",I15&lt;&gt;"",K15&lt;&gt;""),"Yes","No"))</f>
        <v>Yes</v>
      </c>
      <c r="Q15" s="12" t="s">
        <v>205</v>
      </c>
      <c r="R15" s="13" t="s">
        <v>206</v>
      </c>
      <c r="S15" s="13" t="s">
        <v>170</v>
      </c>
      <c r="T15" s="13" t="s">
        <v>139</v>
      </c>
      <c r="U15" s="12"/>
      <c r="V15" s="14" t="n">
        <v>46275</v>
      </c>
      <c r="W15" s="29" t="str">
        <f aca="false">IF(O15="Blocked",ROW(),"")</f>
        <v/>
      </c>
    </row>
    <row r="16" customFormat="false" ht="109.5" hidden="false" customHeight="true" outlineLevel="0" collapsed="false">
      <c r="A16" s="13" t="s">
        <v>207</v>
      </c>
      <c r="B16" s="13" t="s">
        <v>22</v>
      </c>
      <c r="C16" s="13" t="s">
        <v>208</v>
      </c>
      <c r="D16" s="28" t="str">
        <f aca="false">IF(C16="","",IFERROR(INDEX(Epics!$B$5:$B$24,MATCH(C16,Epics!$A$5:$A$24,0)),"Unknown epic"))</f>
        <v>Evidence Submission</v>
      </c>
      <c r="E16" s="12" t="s">
        <v>209</v>
      </c>
      <c r="F16" s="12" t="s">
        <v>210</v>
      </c>
      <c r="G16" s="12" t="s">
        <v>211</v>
      </c>
      <c r="H16" s="12" t="s">
        <v>176</v>
      </c>
      <c r="I16" s="13" t="s">
        <v>96</v>
      </c>
      <c r="J16" s="13" t="n">
        <v>10</v>
      </c>
      <c r="K16" s="13" t="n">
        <v>8</v>
      </c>
      <c r="L16" s="29" t="n">
        <f aca="false">IF(OR(J16="",K16="",N(K16)=0),"",ROUND(J16/K16,2))</f>
        <v>1.25</v>
      </c>
      <c r="M16" s="13" t="s">
        <v>134</v>
      </c>
      <c r="N16" s="13" t="s">
        <v>212</v>
      </c>
      <c r="O16" s="13" t="s">
        <v>146</v>
      </c>
      <c r="P16" s="30" t="str">
        <f aca="false">IF(A16="","",IF(AND(F16&lt;&gt;"",G16&lt;&gt;"",H16&lt;&gt;"",I16&lt;&gt;"",K16&lt;&gt;""),"Yes","No"))</f>
        <v>Yes</v>
      </c>
      <c r="Q16" s="12" t="s">
        <v>213</v>
      </c>
      <c r="R16" s="13" t="s">
        <v>214</v>
      </c>
      <c r="S16" s="13" t="s">
        <v>215</v>
      </c>
      <c r="T16" s="13" t="s">
        <v>139</v>
      </c>
      <c r="U16" s="12"/>
      <c r="V16" s="14" t="n">
        <v>46275</v>
      </c>
      <c r="W16" s="29" t="str">
        <f aca="false">IF(O16="Blocked",ROW(),"")</f>
        <v/>
      </c>
    </row>
    <row r="17" customFormat="false" ht="109.5" hidden="false" customHeight="true" outlineLevel="0" collapsed="false">
      <c r="A17" s="13" t="s">
        <v>216</v>
      </c>
      <c r="B17" s="13" t="s">
        <v>22</v>
      </c>
      <c r="C17" s="13" t="s">
        <v>208</v>
      </c>
      <c r="D17" s="28" t="str">
        <f aca="false">IF(C17="","",IFERROR(INDEX(Epics!$B$5:$B$24,MATCH(C17,Epics!$A$5:$A$24,0)),"Unknown epic"))</f>
        <v>Evidence Submission</v>
      </c>
      <c r="E17" s="12" t="s">
        <v>217</v>
      </c>
      <c r="F17" s="12" t="s">
        <v>218</v>
      </c>
      <c r="G17" s="12" t="s">
        <v>219</v>
      </c>
      <c r="H17" s="12" t="s">
        <v>159</v>
      </c>
      <c r="I17" s="13" t="s">
        <v>96</v>
      </c>
      <c r="J17" s="13" t="n">
        <v>9</v>
      </c>
      <c r="K17" s="13" t="n">
        <v>13</v>
      </c>
      <c r="L17" s="29" t="n">
        <f aca="false">IF(OR(J17="",K17="",N(K17)=0),"",ROUND(J17/K17,2))</f>
        <v>0.69</v>
      </c>
      <c r="M17" s="13" t="s">
        <v>134</v>
      </c>
      <c r="N17" s="13" t="s">
        <v>212</v>
      </c>
      <c r="O17" s="13" t="s">
        <v>220</v>
      </c>
      <c r="P17" s="30" t="str">
        <f aca="false">IF(A17="","",IF(AND(F17&lt;&gt;"",G17&lt;&gt;"",H17&lt;&gt;"",I17&lt;&gt;"",K17&lt;&gt;""),"Yes","No"))</f>
        <v>Yes</v>
      </c>
      <c r="Q17" s="12"/>
      <c r="R17" s="13" t="s">
        <v>221</v>
      </c>
      <c r="S17" s="13" t="s">
        <v>215</v>
      </c>
      <c r="T17" s="13" t="s">
        <v>222</v>
      </c>
      <c r="U17" s="12" t="s">
        <v>223</v>
      </c>
      <c r="V17" s="14" t="n">
        <v>46275</v>
      </c>
      <c r="W17" s="29" t="str">
        <f aca="false">IF(O17="Blocked",ROW(),"")</f>
        <v/>
      </c>
    </row>
    <row r="18" customFormat="false" ht="96.75" hidden="false" customHeight="true" outlineLevel="0" collapsed="false">
      <c r="A18" s="13" t="s">
        <v>224</v>
      </c>
      <c r="B18" s="13" t="s">
        <v>22</v>
      </c>
      <c r="C18" s="13" t="s">
        <v>208</v>
      </c>
      <c r="D18" s="28" t="str">
        <f aca="false">IF(C18="","",IFERROR(INDEX(Epics!$B$5:$B$24,MATCH(C18,Epics!$A$5:$A$24,0)),"Unknown epic"))</f>
        <v>Evidence Submission</v>
      </c>
      <c r="E18" s="12" t="s">
        <v>225</v>
      </c>
      <c r="F18" s="12" t="s">
        <v>226</v>
      </c>
      <c r="G18" s="12" t="s">
        <v>227</v>
      </c>
      <c r="H18" s="12" t="s">
        <v>176</v>
      </c>
      <c r="I18" s="13" t="s">
        <v>96</v>
      </c>
      <c r="J18" s="13" t="n">
        <v>7</v>
      </c>
      <c r="K18" s="13" t="n">
        <v>8</v>
      </c>
      <c r="L18" s="29" t="n">
        <f aca="false">IF(OR(J18="",K18="",N(K18)=0),"",ROUND(J18/K18,2))</f>
        <v>0.88</v>
      </c>
      <c r="M18" s="13" t="s">
        <v>134</v>
      </c>
      <c r="N18" s="13" t="s">
        <v>145</v>
      </c>
      <c r="O18" s="13" t="s">
        <v>146</v>
      </c>
      <c r="P18" s="30" t="str">
        <f aca="false">IF(A18="","",IF(AND(F18&lt;&gt;"",G18&lt;&gt;"",H18&lt;&gt;"",I18&lt;&gt;"",K18&lt;&gt;""),"Yes","No"))</f>
        <v>Yes</v>
      </c>
      <c r="Q18" s="12" t="s">
        <v>228</v>
      </c>
      <c r="R18" s="13" t="s">
        <v>229</v>
      </c>
      <c r="S18" s="13" t="s">
        <v>215</v>
      </c>
      <c r="T18" s="13" t="s">
        <v>222</v>
      </c>
      <c r="U18" s="12"/>
      <c r="V18" s="14" t="n">
        <v>46275</v>
      </c>
      <c r="W18" s="29" t="str">
        <f aca="false">IF(O18="Blocked",ROW(),"")</f>
        <v/>
      </c>
    </row>
    <row r="19" customFormat="false" ht="96.75" hidden="false" customHeight="true" outlineLevel="0" collapsed="false">
      <c r="A19" s="13" t="s">
        <v>230</v>
      </c>
      <c r="B19" s="13" t="s">
        <v>22</v>
      </c>
      <c r="C19" s="13" t="s">
        <v>208</v>
      </c>
      <c r="D19" s="28" t="str">
        <f aca="false">IF(C19="","",IFERROR(INDEX(Epics!$B$5:$B$24,MATCH(C19,Epics!$A$5:$A$24,0)),"Unknown epic"))</f>
        <v>Evidence Submission</v>
      </c>
      <c r="E19" s="12" t="s">
        <v>231</v>
      </c>
      <c r="F19" s="12" t="s">
        <v>232</v>
      </c>
      <c r="G19" s="12" t="s">
        <v>233</v>
      </c>
      <c r="H19" s="12" t="s">
        <v>176</v>
      </c>
      <c r="I19" s="13" t="s">
        <v>96</v>
      </c>
      <c r="J19" s="13" t="n">
        <v>10</v>
      </c>
      <c r="K19" s="13" t="n">
        <v>8</v>
      </c>
      <c r="L19" s="29" t="n">
        <f aca="false">IF(OR(J19="",K19="",N(K19)=0),"",ROUND(J19/K19,2))</f>
        <v>1.25</v>
      </c>
      <c r="M19" s="13" t="s">
        <v>134</v>
      </c>
      <c r="N19" s="13" t="s">
        <v>145</v>
      </c>
      <c r="O19" s="13" t="s">
        <v>146</v>
      </c>
      <c r="P19" s="30" t="str">
        <f aca="false">IF(A19="","",IF(AND(F19&lt;&gt;"",G19&lt;&gt;"",H19&lt;&gt;"",I19&lt;&gt;"",K19&lt;&gt;""),"Yes","No"))</f>
        <v>Yes</v>
      </c>
      <c r="Q19" s="12" t="s">
        <v>234</v>
      </c>
      <c r="R19" s="13" t="s">
        <v>235</v>
      </c>
      <c r="S19" s="13" t="s">
        <v>170</v>
      </c>
      <c r="T19" s="13" t="s">
        <v>222</v>
      </c>
      <c r="U19" s="12"/>
      <c r="V19" s="14" t="n">
        <v>46275</v>
      </c>
      <c r="W19" s="29" t="str">
        <f aca="false">IF(O19="Blocked",ROW(),"")</f>
        <v/>
      </c>
    </row>
    <row r="20" customFormat="false" ht="70.5" hidden="false" customHeight="true" outlineLevel="0" collapsed="false">
      <c r="A20" s="13" t="s">
        <v>236</v>
      </c>
      <c r="B20" s="13" t="s">
        <v>22</v>
      </c>
      <c r="C20" s="13" t="s">
        <v>208</v>
      </c>
      <c r="D20" s="28" t="str">
        <f aca="false">IF(C20="","",IFERROR(INDEX(Epics!$B$5:$B$24,MATCH(C20,Epics!$A$5:$A$24,0)),"Unknown epic"))</f>
        <v>Evidence Submission</v>
      </c>
      <c r="E20" s="12" t="s">
        <v>237</v>
      </c>
      <c r="F20" s="12" t="s">
        <v>238</v>
      </c>
      <c r="G20" s="12" t="s">
        <v>239</v>
      </c>
      <c r="H20" s="12" t="s">
        <v>176</v>
      </c>
      <c r="I20" s="13" t="s">
        <v>98</v>
      </c>
      <c r="J20" s="13" t="n">
        <v>6</v>
      </c>
      <c r="K20" s="13" t="n">
        <v>5</v>
      </c>
      <c r="L20" s="29" t="n">
        <f aca="false">IF(OR(J20="",K20="",N(K20)=0),"",ROUND(J20/K20,2))</f>
        <v>1.2</v>
      </c>
      <c r="M20" s="13" t="s">
        <v>134</v>
      </c>
      <c r="N20" s="13" t="s">
        <v>188</v>
      </c>
      <c r="O20" s="13" t="s">
        <v>136</v>
      </c>
      <c r="P20" s="30" t="str">
        <f aca="false">IF(A20="","",IF(AND(F20&lt;&gt;"",G20&lt;&gt;"",H20&lt;&gt;"",I20&lt;&gt;"",K20&lt;&gt;""),"Yes","No"))</f>
        <v>Yes</v>
      </c>
      <c r="Q20" s="12"/>
      <c r="R20" s="13"/>
      <c r="S20" s="13" t="s">
        <v>170</v>
      </c>
      <c r="T20" s="13" t="s">
        <v>222</v>
      </c>
      <c r="U20" s="12"/>
      <c r="V20" s="14" t="n">
        <v>46275</v>
      </c>
      <c r="W20" s="29" t="str">
        <f aca="false">IF(O20="Blocked",ROW(),"")</f>
        <v/>
      </c>
    </row>
    <row r="21" customFormat="false" ht="57.75" hidden="false" customHeight="true" outlineLevel="0" collapsed="false">
      <c r="A21" s="13" t="s">
        <v>240</v>
      </c>
      <c r="B21" s="13" t="s">
        <v>22</v>
      </c>
      <c r="C21" s="13" t="s">
        <v>208</v>
      </c>
      <c r="D21" s="28" t="str">
        <f aca="false">IF(C21="","",IFERROR(INDEX(Epics!$B$5:$B$24,MATCH(C21,Epics!$A$5:$A$24,0)),"Unknown epic"))</f>
        <v>Evidence Submission</v>
      </c>
      <c r="E21" s="12" t="s">
        <v>241</v>
      </c>
      <c r="F21" s="12" t="s">
        <v>242</v>
      </c>
      <c r="G21" s="12" t="s">
        <v>243</v>
      </c>
      <c r="H21" s="12" t="s">
        <v>176</v>
      </c>
      <c r="I21" s="13" t="s">
        <v>100</v>
      </c>
      <c r="J21" s="13" t="n">
        <v>4</v>
      </c>
      <c r="K21" s="13" t="n">
        <v>3</v>
      </c>
      <c r="L21" s="29" t="n">
        <f aca="false">IF(OR(J21="",K21="",N(K21)=0),"",ROUND(J21/K21,2))</f>
        <v>1.33</v>
      </c>
      <c r="M21" s="13" t="s">
        <v>134</v>
      </c>
      <c r="N21" s="13" t="s">
        <v>167</v>
      </c>
      <c r="O21" s="13" t="s">
        <v>168</v>
      </c>
      <c r="P21" s="30" t="str">
        <f aca="false">IF(A21="","",IF(AND(F21&lt;&gt;"",G21&lt;&gt;"",H21&lt;&gt;"",I21&lt;&gt;"",K21&lt;&gt;""),"Yes","No"))</f>
        <v>Yes</v>
      </c>
      <c r="Q21" s="12"/>
      <c r="R21" s="13" t="s">
        <v>244</v>
      </c>
      <c r="S21" s="13" t="s">
        <v>170</v>
      </c>
      <c r="T21" s="13" t="s">
        <v>139</v>
      </c>
      <c r="U21" s="12" t="s">
        <v>245</v>
      </c>
      <c r="V21" s="14" t="n">
        <v>46275</v>
      </c>
      <c r="W21" s="29" t="str">
        <f aca="false">IF(O21="Blocked",ROW(),"")</f>
        <v/>
      </c>
    </row>
    <row r="22" customFormat="false" ht="96.75" hidden="false" customHeight="true" outlineLevel="0" collapsed="false">
      <c r="A22" s="13" t="s">
        <v>246</v>
      </c>
      <c r="B22" s="13" t="s">
        <v>22</v>
      </c>
      <c r="C22" s="13" t="s">
        <v>247</v>
      </c>
      <c r="D22" s="28" t="str">
        <f aca="false">IF(C22="","",IFERROR(INDEX(Epics!$B$5:$B$24,MATCH(C22,Epics!$A$5:$A$24,0)),"Unknown epic"))</f>
        <v>Processor Integration</v>
      </c>
      <c r="E22" s="12" t="s">
        <v>248</v>
      </c>
      <c r="F22" s="12" t="s">
        <v>249</v>
      </c>
      <c r="G22" s="12" t="s">
        <v>250</v>
      </c>
      <c r="H22" s="12" t="s">
        <v>251</v>
      </c>
      <c r="I22" s="13" t="s">
        <v>96</v>
      </c>
      <c r="J22" s="13" t="n">
        <v>10</v>
      </c>
      <c r="K22" s="13" t="n">
        <v>8</v>
      </c>
      <c r="L22" s="29" t="n">
        <f aca="false">IF(OR(J22="",K22="",N(K22)=0),"",ROUND(J22/K22,2))</f>
        <v>1.25</v>
      </c>
      <c r="M22" s="13" t="s">
        <v>134</v>
      </c>
      <c r="N22" s="13" t="s">
        <v>135</v>
      </c>
      <c r="O22" s="13" t="s">
        <v>136</v>
      </c>
      <c r="P22" s="30" t="str">
        <f aca="false">IF(A22="","",IF(AND(F22&lt;&gt;"",G22&lt;&gt;"",H22&lt;&gt;"",I22&lt;&gt;"",K22&lt;&gt;""),"Yes","No"))</f>
        <v>Yes</v>
      </c>
      <c r="Q22" s="12"/>
      <c r="R22" s="13" t="s">
        <v>252</v>
      </c>
      <c r="S22" s="13" t="s">
        <v>170</v>
      </c>
      <c r="T22" s="13" t="s">
        <v>222</v>
      </c>
      <c r="U22" s="12"/>
      <c r="V22" s="14" t="n">
        <v>46275</v>
      </c>
      <c r="W22" s="29" t="str">
        <f aca="false">IF(O22="Blocked",ROW(),"")</f>
        <v/>
      </c>
    </row>
    <row r="23" customFormat="false" ht="84" hidden="false" customHeight="true" outlineLevel="0" collapsed="false">
      <c r="A23" s="13" t="s">
        <v>253</v>
      </c>
      <c r="B23" s="13" t="s">
        <v>22</v>
      </c>
      <c r="C23" s="13" t="s">
        <v>247</v>
      </c>
      <c r="D23" s="28" t="str">
        <f aca="false">IF(C23="","",IFERROR(INDEX(Epics!$B$5:$B$24,MATCH(C23,Epics!$A$5:$A$24,0)),"Unknown epic"))</f>
        <v>Processor Integration</v>
      </c>
      <c r="E23" s="12" t="s">
        <v>254</v>
      </c>
      <c r="F23" s="12" t="s">
        <v>255</v>
      </c>
      <c r="G23" s="12" t="s">
        <v>256</v>
      </c>
      <c r="H23" s="12" t="s">
        <v>251</v>
      </c>
      <c r="I23" s="13" t="s">
        <v>96</v>
      </c>
      <c r="J23" s="13" t="n">
        <v>9</v>
      </c>
      <c r="K23" s="13" t="n">
        <v>8</v>
      </c>
      <c r="L23" s="29" t="n">
        <f aca="false">IF(OR(J23="",K23="",N(K23)=0),"",ROUND(J23/K23,2))</f>
        <v>1.13</v>
      </c>
      <c r="M23" s="13" t="s">
        <v>134</v>
      </c>
      <c r="N23" s="13" t="s">
        <v>197</v>
      </c>
      <c r="O23" s="13" t="s">
        <v>257</v>
      </c>
      <c r="P23" s="30" t="str">
        <f aca="false">IF(A23="","",IF(AND(F23&lt;&gt;"",G23&lt;&gt;"",H23&lt;&gt;"",I23&lt;&gt;"",K23&lt;&gt;""),"Yes","No"))</f>
        <v>Yes</v>
      </c>
      <c r="Q23" s="12" t="s">
        <v>258</v>
      </c>
      <c r="R23" s="13" t="s">
        <v>259</v>
      </c>
      <c r="S23" s="13" t="s">
        <v>170</v>
      </c>
      <c r="T23" s="13" t="s">
        <v>222</v>
      </c>
      <c r="U23" s="12"/>
      <c r="V23" s="14" t="n">
        <v>46275</v>
      </c>
      <c r="W23" s="29" t="n">
        <f aca="false">IF(O23="Blocked",ROW(),"")</f>
        <v>23</v>
      </c>
    </row>
    <row r="24" customFormat="false" ht="70.5" hidden="false" customHeight="true" outlineLevel="0" collapsed="false">
      <c r="A24" s="13" t="s">
        <v>260</v>
      </c>
      <c r="B24" s="13" t="s">
        <v>22</v>
      </c>
      <c r="C24" s="13" t="s">
        <v>247</v>
      </c>
      <c r="D24" s="28" t="str">
        <f aca="false">IF(C24="","",IFERROR(INDEX(Epics!$B$5:$B$24,MATCH(C24,Epics!$A$5:$A$24,0)),"Unknown epic"))</f>
        <v>Processor Integration</v>
      </c>
      <c r="E24" s="12" t="s">
        <v>261</v>
      </c>
      <c r="F24" s="12" t="s">
        <v>262</v>
      </c>
      <c r="G24" s="12" t="s">
        <v>263</v>
      </c>
      <c r="H24" s="12" t="s">
        <v>251</v>
      </c>
      <c r="I24" s="13" t="s">
        <v>96</v>
      </c>
      <c r="J24" s="13" t="n">
        <v>8</v>
      </c>
      <c r="K24" s="13" t="n">
        <v>5</v>
      </c>
      <c r="L24" s="29" t="n">
        <f aca="false">IF(OR(J24="",K24="",N(K24)=0),"",ROUND(J24/K24,2))</f>
        <v>1.6</v>
      </c>
      <c r="M24" s="13" t="s">
        <v>134</v>
      </c>
      <c r="N24" s="13" t="s">
        <v>197</v>
      </c>
      <c r="O24" s="13" t="s">
        <v>264</v>
      </c>
      <c r="P24" s="30" t="str">
        <f aca="false">IF(A24="","",IF(AND(F24&lt;&gt;"",G24&lt;&gt;"",H24&lt;&gt;"",I24&lt;&gt;"",K24&lt;&gt;""),"Yes","No"))</f>
        <v>Yes</v>
      </c>
      <c r="Q24" s="12"/>
      <c r="R24" s="13" t="s">
        <v>265</v>
      </c>
      <c r="S24" s="13" t="s">
        <v>170</v>
      </c>
      <c r="T24" s="13" t="s">
        <v>222</v>
      </c>
      <c r="U24" s="12"/>
      <c r="V24" s="14" t="n">
        <v>46275</v>
      </c>
      <c r="W24" s="29" t="str">
        <f aca="false">IF(O24="Blocked",ROW(),"")</f>
        <v/>
      </c>
    </row>
    <row r="25" customFormat="false" ht="70.5" hidden="false" customHeight="true" outlineLevel="0" collapsed="false">
      <c r="A25" s="13" t="s">
        <v>266</v>
      </c>
      <c r="B25" s="13" t="s">
        <v>22</v>
      </c>
      <c r="C25" s="13" t="s">
        <v>247</v>
      </c>
      <c r="D25" s="28" t="str">
        <f aca="false">IF(C25="","",IFERROR(INDEX(Epics!$B$5:$B$24,MATCH(C25,Epics!$A$5:$A$24,0)),"Unknown epic"))</f>
        <v>Processor Integration</v>
      </c>
      <c r="E25" s="12" t="s">
        <v>267</v>
      </c>
      <c r="F25" s="12" t="s">
        <v>268</v>
      </c>
      <c r="G25" s="12" t="s">
        <v>269</v>
      </c>
      <c r="H25" s="12" t="s">
        <v>270</v>
      </c>
      <c r="I25" s="13" t="s">
        <v>96</v>
      </c>
      <c r="J25" s="13" t="n">
        <v>8</v>
      </c>
      <c r="K25" s="13" t="n">
        <v>8</v>
      </c>
      <c r="L25" s="29" t="n">
        <f aca="false">IF(OR(J25="",K25="",N(K25)=0),"",ROUND(J25/K25,2))</f>
        <v>1</v>
      </c>
      <c r="M25" s="13" t="s">
        <v>134</v>
      </c>
      <c r="N25" s="13" t="s">
        <v>197</v>
      </c>
      <c r="O25" s="13" t="s">
        <v>136</v>
      </c>
      <c r="P25" s="30" t="str">
        <f aca="false">IF(A25="","",IF(AND(F25&lt;&gt;"",G25&lt;&gt;"",H25&lt;&gt;"",I25&lt;&gt;"",K25&lt;&gt;""),"Yes","No"))</f>
        <v>Yes</v>
      </c>
      <c r="Q25" s="12"/>
      <c r="R25" s="13" t="s">
        <v>271</v>
      </c>
      <c r="S25" s="13" t="s">
        <v>183</v>
      </c>
      <c r="T25" s="13" t="s">
        <v>222</v>
      </c>
      <c r="U25" s="12" t="s">
        <v>272</v>
      </c>
      <c r="V25" s="14" t="n">
        <v>46275</v>
      </c>
      <c r="W25" s="29" t="str">
        <f aca="false">IF(O25="Blocked",ROW(),"")</f>
        <v/>
      </c>
    </row>
    <row r="26" customFormat="false" ht="70.5" hidden="false" customHeight="true" outlineLevel="0" collapsed="false">
      <c r="A26" s="13" t="s">
        <v>273</v>
      </c>
      <c r="B26" s="13" t="s">
        <v>22</v>
      </c>
      <c r="C26" s="13" t="s">
        <v>247</v>
      </c>
      <c r="D26" s="28" t="str">
        <f aca="false">IF(C26="","",IFERROR(INDEX(Epics!$B$5:$B$24,MATCH(C26,Epics!$A$5:$A$24,0)),"Unknown epic"))</f>
        <v>Processor Integration</v>
      </c>
      <c r="E26" s="12" t="s">
        <v>274</v>
      </c>
      <c r="F26" s="12" t="s">
        <v>275</v>
      </c>
      <c r="G26" s="12" t="s">
        <v>276</v>
      </c>
      <c r="H26" s="12" t="s">
        <v>251</v>
      </c>
      <c r="I26" s="13" t="s">
        <v>96</v>
      </c>
      <c r="J26" s="13" t="n">
        <v>7</v>
      </c>
      <c r="K26" s="13" t="n">
        <v>5</v>
      </c>
      <c r="L26" s="29" t="n">
        <f aca="false">IF(OR(J26="",K26="",N(K26)=0),"",ROUND(J26/K26,2))</f>
        <v>1.4</v>
      </c>
      <c r="M26" s="13" t="s">
        <v>134</v>
      </c>
      <c r="N26" s="13" t="s">
        <v>212</v>
      </c>
      <c r="O26" s="13" t="s">
        <v>220</v>
      </c>
      <c r="P26" s="30" t="str">
        <f aca="false">IF(A26="","",IF(AND(F26&lt;&gt;"",G26&lt;&gt;"",H26&lt;&gt;"",I26&lt;&gt;"",K26&lt;&gt;""),"Yes","No"))</f>
        <v>Yes</v>
      </c>
      <c r="Q26" s="12"/>
      <c r="R26" s="13" t="s">
        <v>277</v>
      </c>
      <c r="S26" s="13" t="s">
        <v>183</v>
      </c>
      <c r="T26" s="13" t="s">
        <v>222</v>
      </c>
      <c r="U26" s="12" t="s">
        <v>278</v>
      </c>
      <c r="V26" s="14" t="n">
        <v>46275</v>
      </c>
      <c r="W26" s="29" t="str">
        <f aca="false">IF(O26="Blocked",ROW(),"")</f>
        <v/>
      </c>
    </row>
    <row r="27" customFormat="false" ht="70.5" hidden="false" customHeight="true" outlineLevel="0" collapsed="false">
      <c r="A27" s="13" t="s">
        <v>279</v>
      </c>
      <c r="B27" s="13" t="s">
        <v>22</v>
      </c>
      <c r="C27" s="13" t="s">
        <v>247</v>
      </c>
      <c r="D27" s="28" t="str">
        <f aca="false">IF(C27="","",IFERROR(INDEX(Epics!$B$5:$B$24,MATCH(C27,Epics!$A$5:$A$24,0)),"Unknown epic"))</f>
        <v>Processor Integration</v>
      </c>
      <c r="E27" s="12" t="s">
        <v>280</v>
      </c>
      <c r="F27" s="12" t="s">
        <v>281</v>
      </c>
      <c r="G27" s="12" t="s">
        <v>282</v>
      </c>
      <c r="H27" s="12" t="s">
        <v>270</v>
      </c>
      <c r="I27" s="13" t="s">
        <v>96</v>
      </c>
      <c r="J27" s="13" t="n">
        <v>9</v>
      </c>
      <c r="K27" s="13" t="n">
        <v>5</v>
      </c>
      <c r="L27" s="29" t="n">
        <f aca="false">IF(OR(J27="",K27="",N(K27)=0),"",ROUND(J27/K27,2))</f>
        <v>1.8</v>
      </c>
      <c r="M27" s="13" t="s">
        <v>134</v>
      </c>
      <c r="N27" s="13" t="s">
        <v>212</v>
      </c>
      <c r="O27" s="13" t="s">
        <v>220</v>
      </c>
      <c r="P27" s="30" t="str">
        <f aca="false">IF(A27="","",IF(AND(F27&lt;&gt;"",G27&lt;&gt;"",H27&lt;&gt;"",I27&lt;&gt;"",K27&lt;&gt;""),"Yes","No"))</f>
        <v>Yes</v>
      </c>
      <c r="Q27" s="12"/>
      <c r="R27" s="13" t="s">
        <v>206</v>
      </c>
      <c r="S27" s="13" t="s">
        <v>170</v>
      </c>
      <c r="T27" s="13" t="s">
        <v>222</v>
      </c>
      <c r="U27" s="12"/>
      <c r="V27" s="14" t="n">
        <v>46275</v>
      </c>
      <c r="W27" s="29" t="str">
        <f aca="false">IF(O27="Blocked",ROW(),"")</f>
        <v/>
      </c>
    </row>
    <row r="28" customFormat="false" ht="70.5" hidden="false" customHeight="true" outlineLevel="0" collapsed="false">
      <c r="A28" s="13" t="s">
        <v>283</v>
      </c>
      <c r="B28" s="13" t="s">
        <v>22</v>
      </c>
      <c r="C28" s="13" t="s">
        <v>247</v>
      </c>
      <c r="D28" s="28" t="str">
        <f aca="false">IF(C28="","",IFERROR(INDEX(Epics!$B$5:$B$24,MATCH(C28,Epics!$A$5:$A$24,0)),"Unknown epic"))</f>
        <v>Processor Integration</v>
      </c>
      <c r="E28" s="12" t="s">
        <v>284</v>
      </c>
      <c r="F28" s="12" t="s">
        <v>285</v>
      </c>
      <c r="G28" s="12" t="s">
        <v>286</v>
      </c>
      <c r="H28" s="12" t="s">
        <v>287</v>
      </c>
      <c r="I28" s="13" t="s">
        <v>98</v>
      </c>
      <c r="J28" s="13" t="n">
        <v>7</v>
      </c>
      <c r="K28" s="13" t="n">
        <v>8</v>
      </c>
      <c r="L28" s="29" t="n">
        <f aca="false">IF(OR(J28="",K28="",N(K28)=0),"",ROUND(J28/K28,2))</f>
        <v>0.88</v>
      </c>
      <c r="M28" s="13" t="s">
        <v>134</v>
      </c>
      <c r="N28" s="13" t="s">
        <v>167</v>
      </c>
      <c r="O28" s="13" t="s">
        <v>146</v>
      </c>
      <c r="P28" s="30" t="str">
        <f aca="false">IF(A28="","",IF(AND(F28&lt;&gt;"",G28&lt;&gt;"",H28&lt;&gt;"",I28&lt;&gt;"",K28&lt;&gt;""),"Yes","No"))</f>
        <v>Yes</v>
      </c>
      <c r="Q28" s="12"/>
      <c r="R28" s="13" t="s">
        <v>288</v>
      </c>
      <c r="S28" s="13" t="s">
        <v>138</v>
      </c>
      <c r="T28" s="13" t="s">
        <v>222</v>
      </c>
      <c r="U28" s="12"/>
      <c r="V28" s="14" t="n">
        <v>46275</v>
      </c>
      <c r="W28" s="29" t="str">
        <f aca="false">IF(O28="Blocked",ROW(),"")</f>
        <v/>
      </c>
    </row>
    <row r="29" customFormat="false" ht="96.75" hidden="false" customHeight="true" outlineLevel="0" collapsed="false">
      <c r="A29" s="13" t="s">
        <v>289</v>
      </c>
      <c r="B29" s="13" t="s">
        <v>22</v>
      </c>
      <c r="C29" s="13" t="s">
        <v>290</v>
      </c>
      <c r="D29" s="28" t="str">
        <f aca="false">IF(C29="","",IFERROR(INDEX(Epics!$B$5:$B$24,MATCH(C29,Epics!$A$5:$A$24,0)),"Unknown epic"))</f>
        <v>Notifications &amp; Reminders</v>
      </c>
      <c r="E29" s="12" t="s">
        <v>291</v>
      </c>
      <c r="F29" s="12" t="s">
        <v>292</v>
      </c>
      <c r="G29" s="12" t="s">
        <v>293</v>
      </c>
      <c r="H29" s="12" t="s">
        <v>176</v>
      </c>
      <c r="I29" s="13" t="s">
        <v>96</v>
      </c>
      <c r="J29" s="13" t="n">
        <v>9</v>
      </c>
      <c r="K29" s="13" t="n">
        <v>5</v>
      </c>
      <c r="L29" s="29" t="n">
        <f aca="false">IF(OR(J29="",K29="",N(K29)=0),"",ROUND(J29/K29,2))</f>
        <v>1.8</v>
      </c>
      <c r="M29" s="13" t="s">
        <v>134</v>
      </c>
      <c r="N29" s="13" t="s">
        <v>145</v>
      </c>
      <c r="O29" s="13" t="s">
        <v>146</v>
      </c>
      <c r="P29" s="30" t="str">
        <f aca="false">IF(A29="","",IF(AND(F29&lt;&gt;"",G29&lt;&gt;"",H29&lt;&gt;"",I29&lt;&gt;"",K29&lt;&gt;""),"Yes","No"))</f>
        <v>Yes</v>
      </c>
      <c r="Q29" s="12"/>
      <c r="R29" s="13" t="s">
        <v>206</v>
      </c>
      <c r="S29" s="13" t="s">
        <v>162</v>
      </c>
      <c r="T29" s="13" t="s">
        <v>222</v>
      </c>
      <c r="U29" s="12"/>
      <c r="V29" s="14" t="n">
        <v>46275</v>
      </c>
      <c r="W29" s="29" t="str">
        <f aca="false">IF(O29="Blocked",ROW(),"")</f>
        <v/>
      </c>
    </row>
    <row r="30" customFormat="false" ht="70.5" hidden="false" customHeight="true" outlineLevel="0" collapsed="false">
      <c r="A30" s="13" t="s">
        <v>294</v>
      </c>
      <c r="B30" s="13" t="s">
        <v>22</v>
      </c>
      <c r="C30" s="13" t="s">
        <v>290</v>
      </c>
      <c r="D30" s="28" t="str">
        <f aca="false">IF(C30="","",IFERROR(INDEX(Epics!$B$5:$B$24,MATCH(C30,Epics!$A$5:$A$24,0)),"Unknown epic"))</f>
        <v>Notifications &amp; Reminders</v>
      </c>
      <c r="E30" s="12" t="s">
        <v>295</v>
      </c>
      <c r="F30" s="12" t="s">
        <v>296</v>
      </c>
      <c r="G30" s="12" t="s">
        <v>297</v>
      </c>
      <c r="H30" s="12" t="s">
        <v>298</v>
      </c>
      <c r="I30" s="13" t="s">
        <v>98</v>
      </c>
      <c r="J30" s="13" t="n">
        <v>6</v>
      </c>
      <c r="K30" s="13" t="n">
        <v>5</v>
      </c>
      <c r="L30" s="29" t="n">
        <f aca="false">IF(OR(J30="",K30="",N(K30)=0),"",ROUND(J30/K30,2))</f>
        <v>1.2</v>
      </c>
      <c r="M30" s="13" t="s">
        <v>134</v>
      </c>
      <c r="N30" s="13" t="s">
        <v>167</v>
      </c>
      <c r="O30" s="13" t="s">
        <v>168</v>
      </c>
      <c r="P30" s="30" t="str">
        <f aca="false">IF(A30="","",IF(AND(F30&lt;&gt;"",G30&lt;&gt;"",H30&lt;&gt;"",I30&lt;&gt;"",K30&lt;&gt;""),"Yes","No"))</f>
        <v>Yes</v>
      </c>
      <c r="Q30" s="12" t="s">
        <v>299</v>
      </c>
      <c r="R30" s="13" t="s">
        <v>300</v>
      </c>
      <c r="S30" s="13" t="s">
        <v>170</v>
      </c>
      <c r="T30" s="13" t="s">
        <v>222</v>
      </c>
      <c r="U30" s="12"/>
      <c r="V30" s="14" t="n">
        <v>46275</v>
      </c>
      <c r="W30" s="29" t="str">
        <f aca="false">IF(O30="Blocked",ROW(),"")</f>
        <v/>
      </c>
    </row>
    <row r="31" customFormat="false" ht="45" hidden="false" customHeight="true" outlineLevel="0" collapsed="false">
      <c r="A31" s="13" t="s">
        <v>301</v>
      </c>
      <c r="B31" s="13" t="s">
        <v>22</v>
      </c>
      <c r="C31" s="13" t="s">
        <v>290</v>
      </c>
      <c r="D31" s="28" t="str">
        <f aca="false">IF(C31="","",IFERROR(INDEX(Epics!$B$5:$B$24,MATCH(C31,Epics!$A$5:$A$24,0)),"Unknown epic"))</f>
        <v>Notifications &amp; Reminders</v>
      </c>
      <c r="E31" s="12" t="s">
        <v>302</v>
      </c>
      <c r="F31" s="12" t="s">
        <v>303</v>
      </c>
      <c r="G31" s="12"/>
      <c r="H31" s="12" t="s">
        <v>176</v>
      </c>
      <c r="I31" s="13" t="s">
        <v>100</v>
      </c>
      <c r="J31" s="13" t="n">
        <v>5</v>
      </c>
      <c r="K31" s="13"/>
      <c r="L31" s="29" t="str">
        <f aca="false">IF(OR(J31="",K31="",N(K31)=0),"",ROUND(J31/K31,2))</f>
        <v/>
      </c>
      <c r="M31" s="13" t="s">
        <v>304</v>
      </c>
      <c r="N31" s="13" t="s">
        <v>305</v>
      </c>
      <c r="O31" s="13" t="s">
        <v>168</v>
      </c>
      <c r="P31" s="30" t="str">
        <f aca="false">IF(A31="","",IF(AND(F31&lt;&gt;"",G31&lt;&gt;"",H31&lt;&gt;"",I31&lt;&gt;"",K31&lt;&gt;""),"Yes","No"))</f>
        <v>No</v>
      </c>
      <c r="Q31" s="12" t="s">
        <v>306</v>
      </c>
      <c r="R31" s="13" t="s">
        <v>307</v>
      </c>
      <c r="S31" s="13" t="s">
        <v>162</v>
      </c>
      <c r="T31" s="13" t="s">
        <v>222</v>
      </c>
      <c r="U31" s="12" t="s">
        <v>308</v>
      </c>
      <c r="V31" s="14" t="n">
        <v>46275</v>
      </c>
      <c r="W31" s="29" t="str">
        <f aca="false">IF(O31="Blocked",ROW(),"")</f>
        <v/>
      </c>
    </row>
    <row r="32" customFormat="false" ht="70.5" hidden="false" customHeight="true" outlineLevel="0" collapsed="false">
      <c r="A32" s="13" t="s">
        <v>309</v>
      </c>
      <c r="B32" s="13" t="s">
        <v>22</v>
      </c>
      <c r="C32" s="13" t="s">
        <v>310</v>
      </c>
      <c r="D32" s="28" t="str">
        <f aca="false">IF(C32="","",IFERROR(INDEX(Epics!$B$5:$B$24,MATCH(C32,Epics!$A$5:$A$24,0)),"Unknown epic"))</f>
        <v>Settlement Visibility</v>
      </c>
      <c r="E32" s="12" t="s">
        <v>311</v>
      </c>
      <c r="F32" s="12" t="s">
        <v>312</v>
      </c>
      <c r="G32" s="12" t="s">
        <v>313</v>
      </c>
      <c r="H32" s="12" t="s">
        <v>298</v>
      </c>
      <c r="I32" s="13" t="s">
        <v>96</v>
      </c>
      <c r="J32" s="13" t="n">
        <v>8</v>
      </c>
      <c r="K32" s="13" t="n">
        <v>8</v>
      </c>
      <c r="L32" s="29" t="n">
        <f aca="false">IF(OR(J32="",K32="",N(K32)=0),"",ROUND(J32/K32,2))</f>
        <v>1</v>
      </c>
      <c r="M32" s="13" t="s">
        <v>134</v>
      </c>
      <c r="N32" s="13" t="s">
        <v>160</v>
      </c>
      <c r="O32" s="13" t="s">
        <v>146</v>
      </c>
      <c r="P32" s="30" t="str">
        <f aca="false">IF(A32="","",IF(AND(F32&lt;&gt;"",G32&lt;&gt;"",H32&lt;&gt;"",I32&lt;&gt;"",K32&lt;&gt;""),"Yes","No"))</f>
        <v>Yes</v>
      </c>
      <c r="Q32" s="12" t="s">
        <v>314</v>
      </c>
      <c r="R32" s="13" t="s">
        <v>315</v>
      </c>
      <c r="S32" s="13" t="s">
        <v>170</v>
      </c>
      <c r="T32" s="13" t="s">
        <v>316</v>
      </c>
      <c r="U32" s="12"/>
      <c r="V32" s="14" t="n">
        <v>46275</v>
      </c>
      <c r="W32" s="29" t="str">
        <f aca="false">IF(O32="Blocked",ROW(),"")</f>
        <v/>
      </c>
    </row>
    <row r="33" customFormat="false" ht="84" hidden="false" customHeight="true" outlineLevel="0" collapsed="false">
      <c r="A33" s="13" t="s">
        <v>317</v>
      </c>
      <c r="B33" s="13" t="s">
        <v>22</v>
      </c>
      <c r="C33" s="13" t="s">
        <v>310</v>
      </c>
      <c r="D33" s="28" t="str">
        <f aca="false">IF(C33="","",IFERROR(INDEX(Epics!$B$5:$B$24,MATCH(C33,Epics!$A$5:$A$24,0)),"Unknown epic"))</f>
        <v>Settlement Visibility</v>
      </c>
      <c r="E33" s="12" t="s">
        <v>318</v>
      </c>
      <c r="F33" s="12" t="s">
        <v>319</v>
      </c>
      <c r="G33" s="12" t="s">
        <v>320</v>
      </c>
      <c r="H33" s="12" t="s">
        <v>298</v>
      </c>
      <c r="I33" s="13" t="s">
        <v>98</v>
      </c>
      <c r="J33" s="13" t="n">
        <v>8</v>
      </c>
      <c r="K33" s="13" t="n">
        <v>8</v>
      </c>
      <c r="L33" s="29" t="n">
        <f aca="false">IF(OR(J33="",K33="",N(K33)=0),"",ROUND(J33/K33,2))</f>
        <v>1</v>
      </c>
      <c r="M33" s="13" t="s">
        <v>134</v>
      </c>
      <c r="N33" s="13" t="s">
        <v>160</v>
      </c>
      <c r="O33" s="13" t="s">
        <v>146</v>
      </c>
      <c r="P33" s="30" t="str">
        <f aca="false">IF(A33="","",IF(AND(F33&lt;&gt;"",G33&lt;&gt;"",H33&lt;&gt;"",I33&lt;&gt;"",K33&lt;&gt;""),"Yes","No"))</f>
        <v>Yes</v>
      </c>
      <c r="Q33" s="12" t="s">
        <v>314</v>
      </c>
      <c r="R33" s="13" t="s">
        <v>321</v>
      </c>
      <c r="S33" s="13" t="s">
        <v>170</v>
      </c>
      <c r="T33" s="13" t="s">
        <v>316</v>
      </c>
      <c r="U33" s="12"/>
      <c r="V33" s="14" t="n">
        <v>46275</v>
      </c>
      <c r="W33" s="29" t="str">
        <f aca="false">IF(O33="Blocked",ROW(),"")</f>
        <v/>
      </c>
    </row>
    <row r="34" customFormat="false" ht="84" hidden="false" customHeight="true" outlineLevel="0" collapsed="false">
      <c r="A34" s="13" t="s">
        <v>322</v>
      </c>
      <c r="B34" s="13" t="s">
        <v>22</v>
      </c>
      <c r="C34" s="13" t="s">
        <v>310</v>
      </c>
      <c r="D34" s="28" t="str">
        <f aca="false">IF(C34="","",IFERROR(INDEX(Epics!$B$5:$B$24,MATCH(C34,Epics!$A$5:$A$24,0)),"Unknown epic"))</f>
        <v>Settlement Visibility</v>
      </c>
      <c r="E34" s="12" t="s">
        <v>323</v>
      </c>
      <c r="F34" s="12" t="s">
        <v>324</v>
      </c>
      <c r="G34" s="12" t="s">
        <v>325</v>
      </c>
      <c r="H34" s="12" t="s">
        <v>298</v>
      </c>
      <c r="I34" s="13" t="s">
        <v>98</v>
      </c>
      <c r="J34" s="13" t="n">
        <v>7</v>
      </c>
      <c r="K34" s="13" t="n">
        <v>3</v>
      </c>
      <c r="L34" s="29" t="n">
        <f aca="false">IF(OR(J34="",K34="",N(K34)=0),"",ROUND(J34/K34,2))</f>
        <v>2.33</v>
      </c>
      <c r="M34" s="13" t="s">
        <v>134</v>
      </c>
      <c r="N34" s="13" t="s">
        <v>160</v>
      </c>
      <c r="O34" s="13" t="s">
        <v>146</v>
      </c>
      <c r="P34" s="30" t="str">
        <f aca="false">IF(A34="","",IF(AND(F34&lt;&gt;"",G34&lt;&gt;"",H34&lt;&gt;"",I34&lt;&gt;"",K34&lt;&gt;""),"Yes","No"))</f>
        <v>Yes</v>
      </c>
      <c r="Q34" s="12"/>
      <c r="R34" s="13" t="s">
        <v>326</v>
      </c>
      <c r="S34" s="13" t="s">
        <v>215</v>
      </c>
      <c r="T34" s="13" t="s">
        <v>316</v>
      </c>
      <c r="U34" s="12" t="s">
        <v>327</v>
      </c>
      <c r="V34" s="14" t="n">
        <v>46275</v>
      </c>
      <c r="W34" s="29" t="str">
        <f aca="false">IF(O34="Blocked",ROW(),"")</f>
        <v/>
      </c>
    </row>
    <row r="35" customFormat="false" ht="70.5" hidden="false" customHeight="true" outlineLevel="0" collapsed="false">
      <c r="A35" s="13" t="s">
        <v>328</v>
      </c>
      <c r="B35" s="13" t="s">
        <v>22</v>
      </c>
      <c r="C35" s="13" t="s">
        <v>329</v>
      </c>
      <c r="D35" s="28" t="str">
        <f aca="false">IF(C35="","",IFERROR(INDEX(Epics!$B$5:$B$24,MATCH(C35,Epics!$A$5:$A$24,0)),"Unknown epic"))</f>
        <v>Reporting &amp; Analytics</v>
      </c>
      <c r="E35" s="12" t="s">
        <v>330</v>
      </c>
      <c r="F35" s="12" t="s">
        <v>331</v>
      </c>
      <c r="G35" s="12" t="s">
        <v>332</v>
      </c>
      <c r="H35" s="12" t="s">
        <v>270</v>
      </c>
      <c r="I35" s="13" t="s">
        <v>98</v>
      </c>
      <c r="J35" s="13" t="n">
        <v>8</v>
      </c>
      <c r="K35" s="13" t="n">
        <v>8</v>
      </c>
      <c r="L35" s="29" t="n">
        <f aca="false">IF(OR(J35="",K35="",N(K35)=0),"",ROUND(J35/K35,2))</f>
        <v>1</v>
      </c>
      <c r="M35" s="13" t="s">
        <v>134</v>
      </c>
      <c r="N35" s="13" t="s">
        <v>160</v>
      </c>
      <c r="O35" s="13" t="s">
        <v>146</v>
      </c>
      <c r="P35" s="30" t="str">
        <f aca="false">IF(A35="","",IF(AND(F35&lt;&gt;"",G35&lt;&gt;"",H35&lt;&gt;"",I35&lt;&gt;"",K35&lt;&gt;""),"Yes","No"))</f>
        <v>Yes</v>
      </c>
      <c r="Q35" s="12" t="s">
        <v>314</v>
      </c>
      <c r="R35" s="13" t="s">
        <v>321</v>
      </c>
      <c r="S35" s="13" t="s">
        <v>170</v>
      </c>
      <c r="T35" s="13" t="s">
        <v>316</v>
      </c>
      <c r="U35" s="12"/>
      <c r="V35" s="14" t="n">
        <v>46275</v>
      </c>
      <c r="W35" s="29" t="str">
        <f aca="false">IF(O35="Blocked",ROW(),"")</f>
        <v/>
      </c>
    </row>
    <row r="36" customFormat="false" ht="70.5" hidden="false" customHeight="true" outlineLevel="0" collapsed="false">
      <c r="A36" s="13" t="s">
        <v>333</v>
      </c>
      <c r="B36" s="13" t="s">
        <v>22</v>
      </c>
      <c r="C36" s="13" t="s">
        <v>329</v>
      </c>
      <c r="D36" s="28" t="str">
        <f aca="false">IF(C36="","",IFERROR(INDEX(Epics!$B$5:$B$24,MATCH(C36,Epics!$A$5:$A$24,0)),"Unknown epic"))</f>
        <v>Reporting &amp; Analytics</v>
      </c>
      <c r="E36" s="12" t="s">
        <v>334</v>
      </c>
      <c r="F36" s="12" t="s">
        <v>335</v>
      </c>
      <c r="G36" s="12" t="s">
        <v>336</v>
      </c>
      <c r="H36" s="12" t="s">
        <v>337</v>
      </c>
      <c r="I36" s="13" t="s">
        <v>96</v>
      </c>
      <c r="J36" s="13" t="n">
        <v>8</v>
      </c>
      <c r="K36" s="13" t="n">
        <v>5</v>
      </c>
      <c r="L36" s="29" t="n">
        <f aca="false">IF(OR(J36="",K36="",N(K36)=0),"",ROUND(J36/K36,2))</f>
        <v>1.6</v>
      </c>
      <c r="M36" s="13" t="s">
        <v>134</v>
      </c>
      <c r="N36" s="13" t="s">
        <v>167</v>
      </c>
      <c r="O36" s="13" t="s">
        <v>168</v>
      </c>
      <c r="P36" s="30" t="str">
        <f aca="false">IF(A36="","",IF(AND(F36&lt;&gt;"",G36&lt;&gt;"",H36&lt;&gt;"",I36&lt;&gt;"",K36&lt;&gt;""),"Yes","No"))</f>
        <v>Yes</v>
      </c>
      <c r="Q36" s="12" t="s">
        <v>338</v>
      </c>
      <c r="R36" s="13" t="s">
        <v>339</v>
      </c>
      <c r="S36" s="13" t="s">
        <v>170</v>
      </c>
      <c r="T36" s="13" t="s">
        <v>316</v>
      </c>
      <c r="U36" s="12"/>
      <c r="V36" s="14" t="n">
        <v>46275</v>
      </c>
      <c r="W36" s="29" t="str">
        <f aca="false">IF(O36="Blocked",ROW(),"")</f>
        <v/>
      </c>
    </row>
    <row r="37" customFormat="false" ht="84" hidden="false" customHeight="true" outlineLevel="0" collapsed="false">
      <c r="A37" s="13" t="s">
        <v>340</v>
      </c>
      <c r="B37" s="13" t="s">
        <v>22</v>
      </c>
      <c r="C37" s="13" t="s">
        <v>329</v>
      </c>
      <c r="D37" s="28" t="str">
        <f aca="false">IF(C37="","",IFERROR(INDEX(Epics!$B$5:$B$24,MATCH(C37,Epics!$A$5:$A$24,0)),"Unknown epic"))</f>
        <v>Reporting &amp; Analytics</v>
      </c>
      <c r="E37" s="12" t="s">
        <v>341</v>
      </c>
      <c r="F37" s="12" t="s">
        <v>342</v>
      </c>
      <c r="G37" s="12" t="s">
        <v>343</v>
      </c>
      <c r="H37" s="12" t="s">
        <v>337</v>
      </c>
      <c r="I37" s="13" t="s">
        <v>96</v>
      </c>
      <c r="J37" s="13" t="n">
        <v>7</v>
      </c>
      <c r="K37" s="13" t="n">
        <v>5</v>
      </c>
      <c r="L37" s="29" t="n">
        <f aca="false">IF(OR(J37="",K37="",N(K37)=0),"",ROUND(J37/K37,2))</f>
        <v>1.4</v>
      </c>
      <c r="M37" s="13" t="s">
        <v>134</v>
      </c>
      <c r="N37" s="13" t="s">
        <v>160</v>
      </c>
      <c r="O37" s="13" t="s">
        <v>146</v>
      </c>
      <c r="P37" s="30" t="str">
        <f aca="false">IF(A37="","",IF(AND(F37&lt;&gt;"",G37&lt;&gt;"",H37&lt;&gt;"",I37&lt;&gt;"",K37&lt;&gt;""),"Yes","No"))</f>
        <v>Yes</v>
      </c>
      <c r="Q37" s="12"/>
      <c r="R37" s="13" t="s">
        <v>344</v>
      </c>
      <c r="S37" s="13" t="s">
        <v>170</v>
      </c>
      <c r="T37" s="13" t="s">
        <v>316</v>
      </c>
      <c r="U37" s="12"/>
      <c r="V37" s="14" t="n">
        <v>46275</v>
      </c>
      <c r="W37" s="29" t="str">
        <f aca="false">IF(O37="Blocked",ROW(),"")</f>
        <v/>
      </c>
    </row>
    <row r="38" customFormat="false" ht="70.5" hidden="false" customHeight="true" outlineLevel="0" collapsed="false">
      <c r="A38" s="13" t="s">
        <v>345</v>
      </c>
      <c r="B38" s="13" t="s">
        <v>22</v>
      </c>
      <c r="C38" s="13" t="s">
        <v>329</v>
      </c>
      <c r="D38" s="28" t="str">
        <f aca="false">IF(C38="","",IFERROR(INDEX(Epics!$B$5:$B$24,MATCH(C38,Epics!$A$5:$A$24,0)),"Unknown epic"))</f>
        <v>Reporting &amp; Analytics</v>
      </c>
      <c r="E38" s="12" t="s">
        <v>346</v>
      </c>
      <c r="F38" s="12" t="s">
        <v>347</v>
      </c>
      <c r="G38" s="12" t="s">
        <v>348</v>
      </c>
      <c r="H38" s="12" t="s">
        <v>349</v>
      </c>
      <c r="I38" s="13" t="s">
        <v>96</v>
      </c>
      <c r="J38" s="13" t="n">
        <v>7</v>
      </c>
      <c r="K38" s="13" t="n">
        <v>5</v>
      </c>
      <c r="L38" s="29" t="n">
        <f aca="false">IF(OR(J38="",K38="",N(K38)=0),"",ROUND(J38/K38,2))</f>
        <v>1.4</v>
      </c>
      <c r="M38" s="13" t="s">
        <v>134</v>
      </c>
      <c r="N38" s="13" t="s">
        <v>145</v>
      </c>
      <c r="O38" s="13" t="s">
        <v>257</v>
      </c>
      <c r="P38" s="30" t="str">
        <f aca="false">IF(A38="","",IF(AND(F38&lt;&gt;"",G38&lt;&gt;"",H38&lt;&gt;"",I38&lt;&gt;"",K38&lt;&gt;""),"Yes","No"))</f>
        <v>Yes</v>
      </c>
      <c r="Q38" s="12" t="s">
        <v>350</v>
      </c>
      <c r="R38" s="13" t="s">
        <v>351</v>
      </c>
      <c r="S38" s="13" t="s">
        <v>162</v>
      </c>
      <c r="T38" s="13" t="s">
        <v>316</v>
      </c>
      <c r="U38" s="12"/>
      <c r="V38" s="14" t="n">
        <v>46275</v>
      </c>
      <c r="W38" s="29" t="n">
        <f aca="false">IF(O38="Blocked",ROW(),"")</f>
        <v>38</v>
      </c>
    </row>
    <row r="39" customFormat="false" ht="70.5" hidden="false" customHeight="true" outlineLevel="0" collapsed="false">
      <c r="A39" s="13" t="s">
        <v>352</v>
      </c>
      <c r="B39" s="13" t="s">
        <v>22</v>
      </c>
      <c r="C39" s="13" t="s">
        <v>353</v>
      </c>
      <c r="D39" s="28" t="str">
        <f aca="false">IF(C39="","",IFERROR(INDEX(Epics!$B$5:$B$24,MATCH(C39,Epics!$A$5:$A$24,0)),"Unknown epic"))</f>
        <v>Internal Ops Workbench</v>
      </c>
      <c r="E39" s="12" t="s">
        <v>354</v>
      </c>
      <c r="F39" s="12" t="s">
        <v>355</v>
      </c>
      <c r="G39" s="12" t="s">
        <v>356</v>
      </c>
      <c r="H39" s="12" t="s">
        <v>251</v>
      </c>
      <c r="I39" s="13" t="s">
        <v>96</v>
      </c>
      <c r="J39" s="13" t="n">
        <v>8</v>
      </c>
      <c r="K39" s="13" t="n">
        <v>8</v>
      </c>
      <c r="L39" s="29" t="n">
        <f aca="false">IF(OR(J39="",K39="",N(K39)=0),"",ROUND(J39/K39,2))</f>
        <v>1</v>
      </c>
      <c r="M39" s="13" t="s">
        <v>134</v>
      </c>
      <c r="N39" s="13" t="s">
        <v>177</v>
      </c>
      <c r="O39" s="13" t="s">
        <v>136</v>
      </c>
      <c r="P39" s="30" t="str">
        <f aca="false">IF(A39="","",IF(AND(F39&lt;&gt;"",G39&lt;&gt;"",H39&lt;&gt;"",I39&lt;&gt;"",K39&lt;&gt;""),"Yes","No"))</f>
        <v>Yes</v>
      </c>
      <c r="Q39" s="12"/>
      <c r="R39" s="13"/>
      <c r="S39" s="13" t="s">
        <v>170</v>
      </c>
      <c r="T39" s="13" t="s">
        <v>139</v>
      </c>
      <c r="U39" s="12"/>
      <c r="V39" s="14" t="n">
        <v>46275</v>
      </c>
      <c r="W39" s="29" t="str">
        <f aca="false">IF(O39="Blocked",ROW(),"")</f>
        <v/>
      </c>
    </row>
    <row r="40" customFormat="false" ht="70.5" hidden="false" customHeight="true" outlineLevel="0" collapsed="false">
      <c r="A40" s="13" t="s">
        <v>357</v>
      </c>
      <c r="B40" s="13" t="s">
        <v>22</v>
      </c>
      <c r="C40" s="13" t="s">
        <v>353</v>
      </c>
      <c r="D40" s="28" t="str">
        <f aca="false">IF(C40="","",IFERROR(INDEX(Epics!$B$5:$B$24,MATCH(C40,Epics!$A$5:$A$24,0)),"Unknown epic"))</f>
        <v>Internal Ops Workbench</v>
      </c>
      <c r="E40" s="12" t="s">
        <v>358</v>
      </c>
      <c r="F40" s="12" t="s">
        <v>359</v>
      </c>
      <c r="G40" s="12" t="s">
        <v>360</v>
      </c>
      <c r="H40" s="12" t="s">
        <v>251</v>
      </c>
      <c r="I40" s="13" t="s">
        <v>98</v>
      </c>
      <c r="J40" s="13" t="n">
        <v>6</v>
      </c>
      <c r="K40" s="13" t="n">
        <v>3</v>
      </c>
      <c r="L40" s="29" t="n">
        <f aca="false">IF(OR(J40="",K40="",N(K40)=0),"",ROUND(J40/K40,2))</f>
        <v>2</v>
      </c>
      <c r="M40" s="13" t="s">
        <v>304</v>
      </c>
      <c r="N40" s="13" t="s">
        <v>305</v>
      </c>
      <c r="O40" s="13" t="s">
        <v>146</v>
      </c>
      <c r="P40" s="30" t="str">
        <f aca="false">IF(A40="","",IF(AND(F40&lt;&gt;"",G40&lt;&gt;"",H40&lt;&gt;"",I40&lt;&gt;"",K40&lt;&gt;""),"Yes","No"))</f>
        <v>Yes</v>
      </c>
      <c r="Q40" s="12" t="s">
        <v>361</v>
      </c>
      <c r="R40" s="13" t="s">
        <v>362</v>
      </c>
      <c r="S40" s="13" t="s">
        <v>170</v>
      </c>
      <c r="T40" s="13" t="s">
        <v>222</v>
      </c>
      <c r="U40" s="12" t="s">
        <v>363</v>
      </c>
      <c r="V40" s="14" t="n">
        <v>46275</v>
      </c>
      <c r="W40" s="29" t="str">
        <f aca="false">IF(O40="Blocked",ROW(),"")</f>
        <v/>
      </c>
    </row>
    <row r="41" customFormat="false" ht="70.5" hidden="false" customHeight="true" outlineLevel="0" collapsed="false">
      <c r="A41" s="13" t="s">
        <v>364</v>
      </c>
      <c r="B41" s="13" t="s">
        <v>24</v>
      </c>
      <c r="C41" s="13" t="s">
        <v>365</v>
      </c>
      <c r="D41" s="28" t="str">
        <f aca="false">IF(C41="","",IFERROR(INDEX(Epics!$B$5:$B$24,MATCH(C41,Epics!$A$5:$A$24,0)),"Unknown epic"))</f>
        <v>Platform Quality &amp; Compliance</v>
      </c>
      <c r="E41" s="12" t="s">
        <v>366</v>
      </c>
      <c r="F41" s="12" t="s">
        <v>367</v>
      </c>
      <c r="G41" s="12" t="s">
        <v>368</v>
      </c>
      <c r="H41" s="12" t="s">
        <v>124</v>
      </c>
      <c r="I41" s="13" t="s">
        <v>96</v>
      </c>
      <c r="J41" s="13" t="n">
        <v>6</v>
      </c>
      <c r="K41" s="13" t="n">
        <v>8</v>
      </c>
      <c r="L41" s="29" t="n">
        <f aca="false">IF(OR(J41="",K41="",N(K41)=0),"",ROUND(J41/K41,2))</f>
        <v>0.75</v>
      </c>
      <c r="M41" s="13" t="s">
        <v>134</v>
      </c>
      <c r="N41" s="13" t="s">
        <v>135</v>
      </c>
      <c r="O41" s="13" t="s">
        <v>136</v>
      </c>
      <c r="P41" s="30" t="str">
        <f aca="false">IF(A41="","",IF(AND(F41&lt;&gt;"",G41&lt;&gt;"",H41&lt;&gt;"",I41&lt;&gt;"",K41&lt;&gt;""),"Yes","No"))</f>
        <v>Yes</v>
      </c>
      <c r="Q41" s="12"/>
      <c r="R41" s="13"/>
      <c r="S41" s="13" t="s">
        <v>138</v>
      </c>
      <c r="T41" s="13" t="s">
        <v>222</v>
      </c>
      <c r="U41" s="12"/>
      <c r="V41" s="14" t="n">
        <v>46275</v>
      </c>
      <c r="W41" s="29" t="str">
        <f aca="false">IF(O41="Blocked",ROW(),"")</f>
        <v/>
      </c>
    </row>
    <row r="42" customFormat="false" ht="45" hidden="false" customHeight="true" outlineLevel="0" collapsed="false">
      <c r="A42" s="13" t="s">
        <v>369</v>
      </c>
      <c r="B42" s="13" t="s">
        <v>26</v>
      </c>
      <c r="C42" s="13" t="s">
        <v>365</v>
      </c>
      <c r="D42" s="28" t="str">
        <f aca="false">IF(C42="","",IFERROR(INDEX(Epics!$B$5:$B$24,MATCH(C42,Epics!$A$5:$A$24,0)),"Unknown epic"))</f>
        <v>Platform Quality &amp; Compliance</v>
      </c>
      <c r="E42" s="12" t="s">
        <v>370</v>
      </c>
      <c r="F42" s="12" t="s">
        <v>371</v>
      </c>
      <c r="G42" s="12" t="s">
        <v>372</v>
      </c>
      <c r="H42" s="12" t="s">
        <v>124</v>
      </c>
      <c r="I42" s="13" t="s">
        <v>96</v>
      </c>
      <c r="J42" s="13" t="n">
        <v>6</v>
      </c>
      <c r="K42" s="13" t="n">
        <v>3</v>
      </c>
      <c r="L42" s="29" t="n">
        <f aca="false">IF(OR(J42="",K42="",N(K42)=0),"",ROUND(J42/K42,2))</f>
        <v>2</v>
      </c>
      <c r="M42" s="13" t="s">
        <v>134</v>
      </c>
      <c r="N42" s="13" t="s">
        <v>135</v>
      </c>
      <c r="O42" s="13" t="s">
        <v>136</v>
      </c>
      <c r="P42" s="30" t="str">
        <f aca="false">IF(A42="","",IF(AND(F42&lt;&gt;"",G42&lt;&gt;"",H42&lt;&gt;"",I42&lt;&gt;"",K42&lt;&gt;""),"Yes","No"))</f>
        <v>Yes</v>
      </c>
      <c r="Q42" s="12"/>
      <c r="R42" s="13" t="s">
        <v>252</v>
      </c>
      <c r="S42" s="13" t="s">
        <v>170</v>
      </c>
      <c r="T42" s="13" t="s">
        <v>222</v>
      </c>
      <c r="U42" s="12" t="s">
        <v>373</v>
      </c>
      <c r="V42" s="14" t="n">
        <v>46275</v>
      </c>
      <c r="W42" s="29" t="str">
        <f aca="false">IF(O42="Blocked",ROW(),"")</f>
        <v/>
      </c>
    </row>
    <row r="43" customFormat="false" ht="45" hidden="false" customHeight="true" outlineLevel="0" collapsed="false">
      <c r="A43" s="13" t="s">
        <v>374</v>
      </c>
      <c r="B43" s="13" t="s">
        <v>26</v>
      </c>
      <c r="C43" s="13" t="s">
        <v>365</v>
      </c>
      <c r="D43" s="28" t="str">
        <f aca="false">IF(C43="","",IFERROR(INDEX(Epics!$B$5:$B$24,MATCH(C43,Epics!$A$5:$A$24,0)),"Unknown epic"))</f>
        <v>Platform Quality &amp; Compliance</v>
      </c>
      <c r="E43" s="12" t="s">
        <v>375</v>
      </c>
      <c r="F43" s="12" t="s">
        <v>376</v>
      </c>
      <c r="G43" s="12" t="s">
        <v>377</v>
      </c>
      <c r="H43" s="12" t="s">
        <v>124</v>
      </c>
      <c r="I43" s="13" t="s">
        <v>96</v>
      </c>
      <c r="J43" s="13" t="n">
        <v>6</v>
      </c>
      <c r="K43" s="13" t="n">
        <v>3</v>
      </c>
      <c r="L43" s="29" t="n">
        <f aca="false">IF(OR(J43="",K43="",N(K43)=0),"",ROUND(J43/K43,2))</f>
        <v>2</v>
      </c>
      <c r="M43" s="13" t="s">
        <v>134</v>
      </c>
      <c r="N43" s="13" t="s">
        <v>188</v>
      </c>
      <c r="O43" s="13" t="s">
        <v>136</v>
      </c>
      <c r="P43" s="30" t="str">
        <f aca="false">IF(A43="","",IF(AND(F43&lt;&gt;"",G43&lt;&gt;"",H43&lt;&gt;"",I43&lt;&gt;"",K43&lt;&gt;""),"Yes","No"))</f>
        <v>Yes</v>
      </c>
      <c r="Q43" s="12"/>
      <c r="R43" s="13" t="s">
        <v>378</v>
      </c>
      <c r="S43" s="13" t="s">
        <v>215</v>
      </c>
      <c r="T43" s="13" t="s">
        <v>222</v>
      </c>
      <c r="U43" s="12" t="s">
        <v>379</v>
      </c>
      <c r="V43" s="14" t="n">
        <v>46275</v>
      </c>
      <c r="W43" s="29" t="str">
        <f aca="false">IF(O43="Blocked",ROW(),"")</f>
        <v/>
      </c>
    </row>
    <row r="44" customFormat="false" ht="57.75" hidden="false" customHeight="true" outlineLevel="0" collapsed="false">
      <c r="A44" s="13" t="s">
        <v>380</v>
      </c>
      <c r="B44" s="13" t="s">
        <v>24</v>
      </c>
      <c r="C44" s="13" t="s">
        <v>365</v>
      </c>
      <c r="D44" s="28" t="str">
        <f aca="false">IF(C44="","",IFERROR(INDEX(Epics!$B$5:$B$24,MATCH(C44,Epics!$A$5:$A$24,0)),"Unknown epic"))</f>
        <v>Platform Quality &amp; Compliance</v>
      </c>
      <c r="E44" s="12" t="s">
        <v>381</v>
      </c>
      <c r="F44" s="12" t="s">
        <v>382</v>
      </c>
      <c r="G44" s="12" t="s">
        <v>383</v>
      </c>
      <c r="H44" s="12" t="s">
        <v>124</v>
      </c>
      <c r="I44" s="13" t="s">
        <v>96</v>
      </c>
      <c r="J44" s="13" t="n">
        <v>6</v>
      </c>
      <c r="K44" s="13" t="n">
        <v>5</v>
      </c>
      <c r="L44" s="29" t="n">
        <f aca="false">IF(OR(J44="",K44="",N(K44)=0),"",ROUND(J44/K44,2))</f>
        <v>1.2</v>
      </c>
      <c r="M44" s="13" t="s">
        <v>134</v>
      </c>
      <c r="N44" s="13" t="s">
        <v>177</v>
      </c>
      <c r="O44" s="13" t="s">
        <v>136</v>
      </c>
      <c r="P44" s="30" t="str">
        <f aca="false">IF(A44="","",IF(AND(F44&lt;&gt;"",G44&lt;&gt;"",H44&lt;&gt;"",I44&lt;&gt;"",K44&lt;&gt;""),"Yes","No"))</f>
        <v>Yes</v>
      </c>
      <c r="Q44" s="12"/>
      <c r="R44" s="13"/>
      <c r="S44" s="13" t="s">
        <v>162</v>
      </c>
      <c r="T44" s="13" t="s">
        <v>316</v>
      </c>
      <c r="U44" s="12"/>
      <c r="V44" s="14" t="n">
        <v>46275</v>
      </c>
      <c r="W44" s="29" t="str">
        <f aca="false">IF(O44="Blocked",ROW(),"")</f>
        <v/>
      </c>
    </row>
    <row r="45" customFormat="false" ht="57.75" hidden="false" customHeight="true" outlineLevel="0" collapsed="false">
      <c r="A45" s="13" t="s">
        <v>384</v>
      </c>
      <c r="B45" s="13" t="s">
        <v>22</v>
      </c>
      <c r="C45" s="13" t="s">
        <v>365</v>
      </c>
      <c r="D45" s="28" t="str">
        <f aca="false">IF(C45="","",IFERROR(INDEX(Epics!$B$5:$B$24,MATCH(C45,Epics!$A$5:$A$24,0)),"Unknown epic"))</f>
        <v>Platform Quality &amp; Compliance</v>
      </c>
      <c r="E45" s="12" t="s">
        <v>385</v>
      </c>
      <c r="F45" s="12" t="s">
        <v>386</v>
      </c>
      <c r="G45" s="12" t="s">
        <v>387</v>
      </c>
      <c r="H45" s="12" t="s">
        <v>159</v>
      </c>
      <c r="I45" s="13" t="s">
        <v>96</v>
      </c>
      <c r="J45" s="13" t="n">
        <v>9</v>
      </c>
      <c r="K45" s="13" t="n">
        <v>3</v>
      </c>
      <c r="L45" s="29" t="n">
        <f aca="false">IF(OR(J45="",K45="",N(K45)=0),"",ROUND(J45/K45,2))</f>
        <v>3</v>
      </c>
      <c r="M45" s="13" t="s">
        <v>134</v>
      </c>
      <c r="N45" s="13" t="s">
        <v>212</v>
      </c>
      <c r="O45" s="13" t="s">
        <v>220</v>
      </c>
      <c r="P45" s="30" t="str">
        <f aca="false">IF(A45="","",IF(AND(F45&lt;&gt;"",G45&lt;&gt;"",H45&lt;&gt;"",I45&lt;&gt;"",K45&lt;&gt;""),"Yes","No"))</f>
        <v>Yes</v>
      </c>
      <c r="Q45" s="12"/>
      <c r="R45" s="13" t="s">
        <v>388</v>
      </c>
      <c r="S45" s="13" t="s">
        <v>215</v>
      </c>
      <c r="T45" s="13" t="s">
        <v>222</v>
      </c>
      <c r="U45" s="12"/>
      <c r="V45" s="14" t="n">
        <v>46275</v>
      </c>
      <c r="W45" s="29" t="str">
        <f aca="false">IF(O45="Blocked",ROW(),"")</f>
        <v/>
      </c>
    </row>
    <row r="46" customFormat="false" ht="70.5" hidden="false" customHeight="true" outlineLevel="0" collapsed="false">
      <c r="A46" s="13" t="s">
        <v>389</v>
      </c>
      <c r="B46" s="13" t="s">
        <v>22</v>
      </c>
      <c r="C46" s="13" t="s">
        <v>365</v>
      </c>
      <c r="D46" s="28" t="str">
        <f aca="false">IF(C46="","",IFERROR(INDEX(Epics!$B$5:$B$24,MATCH(C46,Epics!$A$5:$A$24,0)),"Unknown epic"))</f>
        <v>Platform Quality &amp; Compliance</v>
      </c>
      <c r="E46" s="12" t="s">
        <v>390</v>
      </c>
      <c r="F46" s="12" t="s">
        <v>391</v>
      </c>
      <c r="G46" s="12" t="s">
        <v>392</v>
      </c>
      <c r="H46" s="12" t="s">
        <v>133</v>
      </c>
      <c r="I46" s="13" t="s">
        <v>96</v>
      </c>
      <c r="J46" s="13" t="n">
        <v>7</v>
      </c>
      <c r="K46" s="13" t="n">
        <v>5</v>
      </c>
      <c r="L46" s="29" t="n">
        <f aca="false">IF(OR(J46="",K46="",N(K46)=0),"",ROUND(J46/K46,2))</f>
        <v>1.4</v>
      </c>
      <c r="M46" s="13" t="s">
        <v>134</v>
      </c>
      <c r="N46" s="13" t="s">
        <v>167</v>
      </c>
      <c r="O46" s="13" t="s">
        <v>146</v>
      </c>
      <c r="P46" s="30" t="str">
        <f aca="false">IF(A46="","",IF(AND(F46&lt;&gt;"",G46&lt;&gt;"",H46&lt;&gt;"",I46&lt;&gt;"",K46&lt;&gt;""),"Yes","No"))</f>
        <v>Yes</v>
      </c>
      <c r="Q46" s="12"/>
      <c r="R46" s="13" t="s">
        <v>393</v>
      </c>
      <c r="S46" s="13" t="s">
        <v>394</v>
      </c>
      <c r="T46" s="13" t="s">
        <v>139</v>
      </c>
      <c r="U46" s="12" t="s">
        <v>395</v>
      </c>
      <c r="V46" s="14" t="n">
        <v>46275</v>
      </c>
      <c r="W46" s="29" t="str">
        <f aca="false">IF(O46="Blocked",ROW(),"")</f>
        <v/>
      </c>
    </row>
    <row r="47" customFormat="false" ht="70.5" hidden="false" customHeight="true" outlineLevel="0" collapsed="false">
      <c r="A47" s="13" t="s">
        <v>396</v>
      </c>
      <c r="B47" s="13" t="s">
        <v>22</v>
      </c>
      <c r="C47" s="13" t="s">
        <v>365</v>
      </c>
      <c r="D47" s="28" t="str">
        <f aca="false">IF(C47="","",IFERROR(INDEX(Epics!$B$5:$B$24,MATCH(C47,Epics!$A$5:$A$24,0)),"Unknown epic"))</f>
        <v>Platform Quality &amp; Compliance</v>
      </c>
      <c r="E47" s="12" t="s">
        <v>397</v>
      </c>
      <c r="F47" s="12" t="s">
        <v>398</v>
      </c>
      <c r="G47" s="12" t="s">
        <v>399</v>
      </c>
      <c r="H47" s="12" t="s">
        <v>270</v>
      </c>
      <c r="I47" s="13" t="s">
        <v>96</v>
      </c>
      <c r="J47" s="13" t="n">
        <v>8</v>
      </c>
      <c r="K47" s="13" t="n">
        <v>5</v>
      </c>
      <c r="L47" s="29" t="n">
        <f aca="false">IF(OR(J47="",K47="",N(K47)=0),"",ROUND(J47/K47,2))</f>
        <v>1.6</v>
      </c>
      <c r="M47" s="13" t="s">
        <v>134</v>
      </c>
      <c r="N47" s="13" t="s">
        <v>167</v>
      </c>
      <c r="O47" s="13" t="s">
        <v>146</v>
      </c>
      <c r="P47" s="30" t="str">
        <f aca="false">IF(A47="","",IF(AND(F47&lt;&gt;"",G47&lt;&gt;"",H47&lt;&gt;"",I47&lt;&gt;"",K47&lt;&gt;""),"Yes","No"))</f>
        <v>Yes</v>
      </c>
      <c r="Q47" s="12"/>
      <c r="R47" s="13" t="s">
        <v>400</v>
      </c>
      <c r="S47" s="13" t="s">
        <v>170</v>
      </c>
      <c r="T47" s="13" t="s">
        <v>222</v>
      </c>
      <c r="U47" s="12"/>
      <c r="V47" s="14" t="n">
        <v>46275</v>
      </c>
      <c r="W47" s="29" t="str">
        <f aca="false">IF(O47="Blocked",ROW(),"")</f>
        <v/>
      </c>
    </row>
    <row r="48" customFormat="false" ht="70.5" hidden="false" customHeight="true" outlineLevel="0" collapsed="false">
      <c r="A48" s="13" t="s">
        <v>401</v>
      </c>
      <c r="B48" s="13" t="s">
        <v>22</v>
      </c>
      <c r="C48" s="13" t="s">
        <v>365</v>
      </c>
      <c r="D48" s="28" t="str">
        <f aca="false">IF(C48="","",IFERROR(INDEX(Epics!$B$5:$B$24,MATCH(C48,Epics!$A$5:$A$24,0)),"Unknown epic"))</f>
        <v>Platform Quality &amp; Compliance</v>
      </c>
      <c r="E48" s="12" t="s">
        <v>402</v>
      </c>
      <c r="F48" s="12" t="s">
        <v>403</v>
      </c>
      <c r="G48" s="12" t="s">
        <v>404</v>
      </c>
      <c r="H48" s="12" t="s">
        <v>159</v>
      </c>
      <c r="I48" s="13" t="s">
        <v>96</v>
      </c>
      <c r="J48" s="13" t="n">
        <v>9</v>
      </c>
      <c r="K48" s="13" t="n">
        <v>8</v>
      </c>
      <c r="L48" s="29" t="n">
        <f aca="false">IF(OR(J48="",K48="",N(K48)=0),"",ROUND(J48/K48,2))</f>
        <v>1.13</v>
      </c>
      <c r="M48" s="13" t="s">
        <v>134</v>
      </c>
      <c r="N48" s="13" t="s">
        <v>405</v>
      </c>
      <c r="O48" s="13" t="s">
        <v>168</v>
      </c>
      <c r="P48" s="30" t="str">
        <f aca="false">IF(A48="","",IF(AND(F48&lt;&gt;"",G48&lt;&gt;"",H48&lt;&gt;"",I48&lt;&gt;"",K48&lt;&gt;""),"Yes","No"))</f>
        <v>Yes</v>
      </c>
      <c r="Q48" s="12" t="s">
        <v>406</v>
      </c>
      <c r="R48" s="13" t="s">
        <v>407</v>
      </c>
      <c r="S48" s="13" t="s">
        <v>138</v>
      </c>
      <c r="T48" s="13" t="s">
        <v>222</v>
      </c>
      <c r="U48" s="12"/>
      <c r="V48" s="14" t="n">
        <v>46275</v>
      </c>
      <c r="W48" s="29" t="str">
        <f aca="false">IF(O48="Blocked",ROW(),"")</f>
        <v/>
      </c>
    </row>
    <row r="49" customFormat="false" ht="57.75" hidden="false" customHeight="true" outlineLevel="0" collapsed="false">
      <c r="A49" s="13" t="s">
        <v>408</v>
      </c>
      <c r="B49" s="13" t="s">
        <v>22</v>
      </c>
      <c r="C49" s="13" t="s">
        <v>353</v>
      </c>
      <c r="D49" s="28" t="str">
        <f aca="false">IF(C49="","",IFERROR(INDEX(Epics!$B$5:$B$24,MATCH(C49,Epics!$A$5:$A$24,0)),"Unknown epic"))</f>
        <v>Internal Ops Workbench</v>
      </c>
      <c r="E49" s="12" t="s">
        <v>409</v>
      </c>
      <c r="F49" s="12" t="s">
        <v>410</v>
      </c>
      <c r="G49" s="12"/>
      <c r="H49" s="12" t="s">
        <v>251</v>
      </c>
      <c r="I49" s="13" t="s">
        <v>102</v>
      </c>
      <c r="J49" s="13" t="n">
        <v>6</v>
      </c>
      <c r="K49" s="13" t="n">
        <v>34</v>
      </c>
      <c r="L49" s="29" t="n">
        <f aca="false">IF(OR(J49="",K49="",N(K49)=0),"",ROUND(J49/K49,2))</f>
        <v>0.18</v>
      </c>
      <c r="M49" s="13" t="s">
        <v>411</v>
      </c>
      <c r="N49" s="13" t="s">
        <v>411</v>
      </c>
      <c r="O49" s="13" t="s">
        <v>168</v>
      </c>
      <c r="P49" s="30" t="str">
        <f aca="false">IF(A49="","",IF(AND(F49&lt;&gt;"",G49&lt;&gt;"",H49&lt;&gt;"",I49&lt;&gt;"",K49&lt;&gt;""),"Yes","No"))</f>
        <v>No</v>
      </c>
      <c r="Q49" s="12" t="s">
        <v>412</v>
      </c>
      <c r="R49" s="13" t="s">
        <v>362</v>
      </c>
      <c r="S49" s="13" t="s">
        <v>170</v>
      </c>
      <c r="T49" s="13" t="s">
        <v>222</v>
      </c>
      <c r="U49" s="12" t="s">
        <v>413</v>
      </c>
      <c r="V49" s="14" t="n">
        <v>46275</v>
      </c>
      <c r="W49" s="29" t="str">
        <f aca="false">IF(O49="Blocked",ROW(),"")</f>
        <v/>
      </c>
    </row>
    <row r="50" customFormat="false" ht="45" hidden="false" customHeight="true" outlineLevel="0" collapsed="false">
      <c r="A50" s="13" t="s">
        <v>414</v>
      </c>
      <c r="B50" s="13" t="s">
        <v>22</v>
      </c>
      <c r="C50" s="13" t="s">
        <v>129</v>
      </c>
      <c r="D50" s="28" t="str">
        <f aca="false">IF(C50="","",IFERROR(INDEX(Epics!$B$5:$B$24,MATCH(C50,Epics!$A$5:$A$24,0)),"Unknown epic"))</f>
        <v>Merchant Access &amp; Onboarding</v>
      </c>
      <c r="E50" s="12" t="s">
        <v>415</v>
      </c>
      <c r="F50" s="12" t="s">
        <v>416</v>
      </c>
      <c r="G50" s="12"/>
      <c r="H50" s="12" t="s">
        <v>133</v>
      </c>
      <c r="I50" s="13" t="s">
        <v>102</v>
      </c>
      <c r="J50" s="13" t="n">
        <v>5</v>
      </c>
      <c r="K50" s="13" t="n">
        <v>21</v>
      </c>
      <c r="L50" s="29" t="n">
        <f aca="false">IF(OR(J50="",K50="",N(K50)=0),"",ROUND(J50/K50,2))</f>
        <v>0.24</v>
      </c>
      <c r="M50" s="13" t="s">
        <v>411</v>
      </c>
      <c r="N50" s="13" t="s">
        <v>411</v>
      </c>
      <c r="O50" s="13" t="s">
        <v>417</v>
      </c>
      <c r="P50" s="30" t="str">
        <f aca="false">IF(A50="","",IF(AND(F50&lt;&gt;"",G50&lt;&gt;"",H50&lt;&gt;"",I50&lt;&gt;"",K50&lt;&gt;""),"Yes","No"))</f>
        <v>No</v>
      </c>
      <c r="Q50" s="12"/>
      <c r="R50" s="13" t="s">
        <v>418</v>
      </c>
      <c r="S50" s="13" t="s">
        <v>394</v>
      </c>
      <c r="T50" s="13" t="s">
        <v>139</v>
      </c>
      <c r="U50" s="12" t="s">
        <v>419</v>
      </c>
      <c r="V50" s="14" t="n">
        <v>46275</v>
      </c>
      <c r="W50" s="29" t="str">
        <f aca="false">IF(O50="Blocked",ROW(),"")</f>
        <v/>
      </c>
    </row>
    <row r="51" customFormat="false" ht="57.75" hidden="false" customHeight="true" outlineLevel="0" collapsed="false">
      <c r="A51" s="13" t="s">
        <v>420</v>
      </c>
      <c r="B51" s="13" t="s">
        <v>22</v>
      </c>
      <c r="C51" s="13" t="s">
        <v>247</v>
      </c>
      <c r="D51" s="28" t="str">
        <f aca="false">IF(C51="","",IFERROR(INDEX(Epics!$B$5:$B$24,MATCH(C51,Epics!$A$5:$A$24,0)),"Unknown epic"))</f>
        <v>Processor Integration</v>
      </c>
      <c r="E51" s="12" t="s">
        <v>421</v>
      </c>
      <c r="F51" s="12" t="s">
        <v>422</v>
      </c>
      <c r="G51" s="12"/>
      <c r="H51" s="12" t="s">
        <v>270</v>
      </c>
      <c r="I51" s="13" t="s">
        <v>102</v>
      </c>
      <c r="J51" s="13" t="n">
        <v>5</v>
      </c>
      <c r="K51" s="13" t="n">
        <v>8</v>
      </c>
      <c r="L51" s="29" t="n">
        <f aca="false">IF(OR(J51="",K51="",N(K51)=0),"",ROUND(J51/K51,2))</f>
        <v>0.63</v>
      </c>
      <c r="M51" s="13" t="s">
        <v>411</v>
      </c>
      <c r="N51" s="13" t="s">
        <v>411</v>
      </c>
      <c r="O51" s="13" t="s">
        <v>168</v>
      </c>
      <c r="P51" s="30" t="str">
        <f aca="false">IF(A51="","",IF(AND(F51&lt;&gt;"",G51&lt;&gt;"",H51&lt;&gt;"",I51&lt;&gt;"",K51&lt;&gt;""),"Yes","No"))</f>
        <v>No</v>
      </c>
      <c r="Q51" s="12"/>
      <c r="R51" s="13" t="s">
        <v>423</v>
      </c>
      <c r="S51" s="13" t="s">
        <v>183</v>
      </c>
      <c r="T51" s="13" t="s">
        <v>139</v>
      </c>
      <c r="U51" s="12" t="s">
        <v>424</v>
      </c>
      <c r="V51" s="14" t="n">
        <v>46275</v>
      </c>
      <c r="W51" s="29" t="str">
        <f aca="false">IF(O51="Blocked",ROW(),"")</f>
        <v/>
      </c>
    </row>
    <row r="52" customFormat="false" ht="19.5" hidden="false" customHeight="true" outlineLevel="0" collapsed="false">
      <c r="A52" s="13"/>
      <c r="B52" s="13"/>
      <c r="C52" s="13"/>
      <c r="D52" s="28" t="str">
        <f aca="false">IF(C52="","",IFERROR(INDEX(Epics!$B$5:$B$24,MATCH(C52,Epics!$A$5:$A$24,0)),"Unknown epic"))</f>
        <v/>
      </c>
      <c r="E52" s="12"/>
      <c r="F52" s="12"/>
      <c r="G52" s="12"/>
      <c r="H52" s="12"/>
      <c r="I52" s="13"/>
      <c r="J52" s="13"/>
      <c r="K52" s="13"/>
      <c r="L52" s="29" t="str">
        <f aca="false">IF(OR(J52="",K52="",N(K52)=0),"",ROUND(J52/K52,2))</f>
        <v/>
      </c>
      <c r="M52" s="13"/>
      <c r="N52" s="13"/>
      <c r="O52" s="13"/>
      <c r="P52" s="30" t="str">
        <f aca="false">IF(A52="","",IF(AND(F52&lt;&gt;"",G52&lt;&gt;"",H52&lt;&gt;"",I52&lt;&gt;"",K52&lt;&gt;""),"Yes","No"))</f>
        <v/>
      </c>
      <c r="Q52" s="12"/>
      <c r="R52" s="13"/>
      <c r="S52" s="13"/>
      <c r="T52" s="13"/>
      <c r="U52" s="12"/>
      <c r="V52" s="14"/>
      <c r="W52" s="29" t="str">
        <f aca="false">IF(O52="Blocked",ROW(),"")</f>
        <v/>
      </c>
    </row>
    <row r="53" customFormat="false" ht="19.5" hidden="false" customHeight="true" outlineLevel="0" collapsed="false">
      <c r="A53" s="13"/>
      <c r="B53" s="13"/>
      <c r="C53" s="13"/>
      <c r="D53" s="28" t="str">
        <f aca="false">IF(C53="","",IFERROR(INDEX(Epics!$B$5:$B$24,MATCH(C53,Epics!$A$5:$A$24,0)),"Unknown epic"))</f>
        <v/>
      </c>
      <c r="E53" s="12"/>
      <c r="F53" s="12"/>
      <c r="G53" s="12"/>
      <c r="H53" s="12"/>
      <c r="I53" s="13"/>
      <c r="J53" s="13"/>
      <c r="K53" s="13"/>
      <c r="L53" s="29" t="str">
        <f aca="false">IF(OR(J53="",K53="",N(K53)=0),"",ROUND(J53/K53,2))</f>
        <v/>
      </c>
      <c r="M53" s="13"/>
      <c r="N53" s="13"/>
      <c r="O53" s="13"/>
      <c r="P53" s="30" t="str">
        <f aca="false">IF(A53="","",IF(AND(F53&lt;&gt;"",G53&lt;&gt;"",H53&lt;&gt;"",I53&lt;&gt;"",K53&lt;&gt;""),"Yes","No"))</f>
        <v/>
      </c>
      <c r="Q53" s="12"/>
      <c r="R53" s="13"/>
      <c r="S53" s="13"/>
      <c r="T53" s="13"/>
      <c r="U53" s="12"/>
      <c r="V53" s="14"/>
      <c r="W53" s="29" t="str">
        <f aca="false">IF(O53="Blocked",ROW(),"")</f>
        <v/>
      </c>
    </row>
    <row r="54" customFormat="false" ht="19.5" hidden="false" customHeight="true" outlineLevel="0" collapsed="false">
      <c r="A54" s="13"/>
      <c r="B54" s="13"/>
      <c r="C54" s="13"/>
      <c r="D54" s="28" t="str">
        <f aca="false">IF(C54="","",IFERROR(INDEX(Epics!$B$5:$B$24,MATCH(C54,Epics!$A$5:$A$24,0)),"Unknown epic"))</f>
        <v/>
      </c>
      <c r="E54" s="12"/>
      <c r="F54" s="12"/>
      <c r="G54" s="12"/>
      <c r="H54" s="12"/>
      <c r="I54" s="13"/>
      <c r="J54" s="13"/>
      <c r="K54" s="13"/>
      <c r="L54" s="29" t="str">
        <f aca="false">IF(OR(J54="",K54="",N(K54)=0),"",ROUND(J54/K54,2))</f>
        <v/>
      </c>
      <c r="M54" s="13"/>
      <c r="N54" s="13"/>
      <c r="O54" s="13"/>
      <c r="P54" s="30" t="str">
        <f aca="false">IF(A54="","",IF(AND(F54&lt;&gt;"",G54&lt;&gt;"",H54&lt;&gt;"",I54&lt;&gt;"",K54&lt;&gt;""),"Yes","No"))</f>
        <v/>
      </c>
      <c r="Q54" s="12"/>
      <c r="R54" s="13"/>
      <c r="S54" s="13"/>
      <c r="T54" s="13"/>
      <c r="U54" s="12"/>
      <c r="V54" s="14"/>
      <c r="W54" s="29" t="str">
        <f aca="false">IF(O54="Blocked",ROW(),"")</f>
        <v/>
      </c>
    </row>
    <row r="55" customFormat="false" ht="19.5" hidden="false" customHeight="true" outlineLevel="0" collapsed="false">
      <c r="A55" s="13"/>
      <c r="B55" s="13"/>
      <c r="C55" s="13"/>
      <c r="D55" s="28" t="str">
        <f aca="false">IF(C55="","",IFERROR(INDEX(Epics!$B$5:$B$24,MATCH(C55,Epics!$A$5:$A$24,0)),"Unknown epic"))</f>
        <v/>
      </c>
      <c r="E55" s="12"/>
      <c r="F55" s="12"/>
      <c r="G55" s="12"/>
      <c r="H55" s="12"/>
      <c r="I55" s="13"/>
      <c r="J55" s="13"/>
      <c r="K55" s="13"/>
      <c r="L55" s="29" t="str">
        <f aca="false">IF(OR(J55="",K55="",N(K55)=0),"",ROUND(J55/K55,2))</f>
        <v/>
      </c>
      <c r="M55" s="13"/>
      <c r="N55" s="13"/>
      <c r="O55" s="13"/>
      <c r="P55" s="30" t="str">
        <f aca="false">IF(A55="","",IF(AND(F55&lt;&gt;"",G55&lt;&gt;"",H55&lt;&gt;"",I55&lt;&gt;"",K55&lt;&gt;""),"Yes","No"))</f>
        <v/>
      </c>
      <c r="Q55" s="12"/>
      <c r="R55" s="13"/>
      <c r="S55" s="13"/>
      <c r="T55" s="13"/>
      <c r="U55" s="12"/>
      <c r="V55" s="14"/>
      <c r="W55" s="29" t="str">
        <f aca="false">IF(O55="Blocked",ROW(),"")</f>
        <v/>
      </c>
    </row>
    <row r="56" customFormat="false" ht="19.5" hidden="false" customHeight="true" outlineLevel="0" collapsed="false">
      <c r="A56" s="13"/>
      <c r="B56" s="13"/>
      <c r="C56" s="13"/>
      <c r="D56" s="28" t="str">
        <f aca="false">IF(C56="","",IFERROR(INDEX(Epics!$B$5:$B$24,MATCH(C56,Epics!$A$5:$A$24,0)),"Unknown epic"))</f>
        <v/>
      </c>
      <c r="E56" s="12"/>
      <c r="F56" s="12"/>
      <c r="G56" s="12"/>
      <c r="H56" s="12"/>
      <c r="I56" s="13"/>
      <c r="J56" s="13"/>
      <c r="K56" s="13"/>
      <c r="L56" s="29" t="str">
        <f aca="false">IF(OR(J56="",K56="",N(K56)=0),"",ROUND(J56/K56,2))</f>
        <v/>
      </c>
      <c r="M56" s="13"/>
      <c r="N56" s="13"/>
      <c r="O56" s="13"/>
      <c r="P56" s="30" t="str">
        <f aca="false">IF(A56="","",IF(AND(F56&lt;&gt;"",G56&lt;&gt;"",H56&lt;&gt;"",I56&lt;&gt;"",K56&lt;&gt;""),"Yes","No"))</f>
        <v/>
      </c>
      <c r="Q56" s="12"/>
      <c r="R56" s="13"/>
      <c r="S56" s="13"/>
      <c r="T56" s="13"/>
      <c r="U56" s="12"/>
      <c r="V56" s="14"/>
      <c r="W56" s="29" t="str">
        <f aca="false">IF(O56="Blocked",ROW(),"")</f>
        <v/>
      </c>
    </row>
    <row r="57" customFormat="false" ht="19.5" hidden="false" customHeight="true" outlineLevel="0" collapsed="false">
      <c r="A57" s="13"/>
      <c r="B57" s="13"/>
      <c r="C57" s="13"/>
      <c r="D57" s="28" t="str">
        <f aca="false">IF(C57="","",IFERROR(INDEX(Epics!$B$5:$B$24,MATCH(C57,Epics!$A$5:$A$24,0)),"Unknown epic"))</f>
        <v/>
      </c>
      <c r="E57" s="12"/>
      <c r="F57" s="12"/>
      <c r="G57" s="12"/>
      <c r="H57" s="12"/>
      <c r="I57" s="13"/>
      <c r="J57" s="13"/>
      <c r="K57" s="13"/>
      <c r="L57" s="29" t="str">
        <f aca="false">IF(OR(J57="",K57="",N(K57)=0),"",ROUND(J57/K57,2))</f>
        <v/>
      </c>
      <c r="M57" s="13"/>
      <c r="N57" s="13"/>
      <c r="O57" s="13"/>
      <c r="P57" s="30" t="str">
        <f aca="false">IF(A57="","",IF(AND(F57&lt;&gt;"",G57&lt;&gt;"",H57&lt;&gt;"",I57&lt;&gt;"",K57&lt;&gt;""),"Yes","No"))</f>
        <v/>
      </c>
      <c r="Q57" s="12"/>
      <c r="R57" s="13"/>
      <c r="S57" s="13"/>
      <c r="T57" s="13"/>
      <c r="U57" s="12"/>
      <c r="V57" s="14"/>
      <c r="W57" s="29" t="str">
        <f aca="false">IF(O57="Blocked",ROW(),"")</f>
        <v/>
      </c>
    </row>
    <row r="58" customFormat="false" ht="19.5" hidden="false" customHeight="true" outlineLevel="0" collapsed="false">
      <c r="A58" s="13"/>
      <c r="B58" s="13"/>
      <c r="C58" s="13"/>
      <c r="D58" s="28" t="str">
        <f aca="false">IF(C58="","",IFERROR(INDEX(Epics!$B$5:$B$24,MATCH(C58,Epics!$A$5:$A$24,0)),"Unknown epic"))</f>
        <v/>
      </c>
      <c r="E58" s="12"/>
      <c r="F58" s="12"/>
      <c r="G58" s="12"/>
      <c r="H58" s="12"/>
      <c r="I58" s="13"/>
      <c r="J58" s="13"/>
      <c r="K58" s="13"/>
      <c r="L58" s="29" t="str">
        <f aca="false">IF(OR(J58="",K58="",N(K58)=0),"",ROUND(J58/K58,2))</f>
        <v/>
      </c>
      <c r="M58" s="13"/>
      <c r="N58" s="13"/>
      <c r="O58" s="13"/>
      <c r="P58" s="30" t="str">
        <f aca="false">IF(A58="","",IF(AND(F58&lt;&gt;"",G58&lt;&gt;"",H58&lt;&gt;"",I58&lt;&gt;"",K58&lt;&gt;""),"Yes","No"))</f>
        <v/>
      </c>
      <c r="Q58" s="12"/>
      <c r="R58" s="13"/>
      <c r="S58" s="13"/>
      <c r="T58" s="13"/>
      <c r="U58" s="12"/>
      <c r="V58" s="14"/>
      <c r="W58" s="29" t="str">
        <f aca="false">IF(O58="Blocked",ROW(),"")</f>
        <v/>
      </c>
    </row>
    <row r="59" customFormat="false" ht="19.5" hidden="false" customHeight="true" outlineLevel="0" collapsed="false">
      <c r="A59" s="13"/>
      <c r="B59" s="13"/>
      <c r="C59" s="13"/>
      <c r="D59" s="28" t="str">
        <f aca="false">IF(C59="","",IFERROR(INDEX(Epics!$B$5:$B$24,MATCH(C59,Epics!$A$5:$A$24,0)),"Unknown epic"))</f>
        <v/>
      </c>
      <c r="E59" s="12"/>
      <c r="F59" s="12"/>
      <c r="G59" s="12"/>
      <c r="H59" s="12"/>
      <c r="I59" s="13"/>
      <c r="J59" s="13"/>
      <c r="K59" s="13"/>
      <c r="L59" s="29" t="str">
        <f aca="false">IF(OR(J59="",K59="",N(K59)=0),"",ROUND(J59/K59,2))</f>
        <v/>
      </c>
      <c r="M59" s="13"/>
      <c r="N59" s="13"/>
      <c r="O59" s="13"/>
      <c r="P59" s="30" t="str">
        <f aca="false">IF(A59="","",IF(AND(F59&lt;&gt;"",G59&lt;&gt;"",H59&lt;&gt;"",I59&lt;&gt;"",K59&lt;&gt;""),"Yes","No"))</f>
        <v/>
      </c>
      <c r="Q59" s="12"/>
      <c r="R59" s="13"/>
      <c r="S59" s="13"/>
      <c r="T59" s="13"/>
      <c r="U59" s="12"/>
      <c r="V59" s="14"/>
      <c r="W59" s="29" t="str">
        <f aca="false">IF(O59="Blocked",ROW(),"")</f>
        <v/>
      </c>
    </row>
    <row r="60" customFormat="false" ht="19.5" hidden="false" customHeight="true" outlineLevel="0" collapsed="false">
      <c r="A60" s="13"/>
      <c r="B60" s="13"/>
      <c r="C60" s="13"/>
      <c r="D60" s="28" t="str">
        <f aca="false">IF(C60="","",IFERROR(INDEX(Epics!$B$5:$B$24,MATCH(C60,Epics!$A$5:$A$24,0)),"Unknown epic"))</f>
        <v/>
      </c>
      <c r="E60" s="12"/>
      <c r="F60" s="12"/>
      <c r="G60" s="12"/>
      <c r="H60" s="12"/>
      <c r="I60" s="13"/>
      <c r="J60" s="13"/>
      <c r="K60" s="13"/>
      <c r="L60" s="29" t="str">
        <f aca="false">IF(OR(J60="",K60="",N(K60)=0),"",ROUND(J60/K60,2))</f>
        <v/>
      </c>
      <c r="M60" s="13"/>
      <c r="N60" s="13"/>
      <c r="O60" s="13"/>
      <c r="P60" s="30" t="str">
        <f aca="false">IF(A60="","",IF(AND(F60&lt;&gt;"",G60&lt;&gt;"",H60&lt;&gt;"",I60&lt;&gt;"",K60&lt;&gt;""),"Yes","No"))</f>
        <v/>
      </c>
      <c r="Q60" s="12"/>
      <c r="R60" s="13"/>
      <c r="S60" s="13"/>
      <c r="T60" s="13"/>
      <c r="U60" s="12"/>
      <c r="V60" s="14"/>
      <c r="W60" s="29" t="str">
        <f aca="false">IF(O60="Blocked",ROW(),"")</f>
        <v/>
      </c>
    </row>
    <row r="61" customFormat="false" ht="19.5" hidden="false" customHeight="true" outlineLevel="0" collapsed="false">
      <c r="A61" s="13"/>
      <c r="B61" s="13"/>
      <c r="C61" s="13"/>
      <c r="D61" s="28" t="str">
        <f aca="false">IF(C61="","",IFERROR(INDEX(Epics!$B$5:$B$24,MATCH(C61,Epics!$A$5:$A$24,0)),"Unknown epic"))</f>
        <v/>
      </c>
      <c r="E61" s="12"/>
      <c r="F61" s="12"/>
      <c r="G61" s="12"/>
      <c r="H61" s="12"/>
      <c r="I61" s="13"/>
      <c r="J61" s="13"/>
      <c r="K61" s="13"/>
      <c r="L61" s="29" t="str">
        <f aca="false">IF(OR(J61="",K61="",N(K61)=0),"",ROUND(J61/K61,2))</f>
        <v/>
      </c>
      <c r="M61" s="13"/>
      <c r="N61" s="13"/>
      <c r="O61" s="13"/>
      <c r="P61" s="30" t="str">
        <f aca="false">IF(A61="","",IF(AND(F61&lt;&gt;"",G61&lt;&gt;"",H61&lt;&gt;"",I61&lt;&gt;"",K61&lt;&gt;""),"Yes","No"))</f>
        <v/>
      </c>
      <c r="Q61" s="12"/>
      <c r="R61" s="13"/>
      <c r="S61" s="13"/>
      <c r="T61" s="13"/>
      <c r="U61" s="12"/>
      <c r="V61" s="14"/>
      <c r="W61" s="29" t="str">
        <f aca="false">IF(O61="Blocked",ROW(),"")</f>
        <v/>
      </c>
    </row>
    <row r="62" customFormat="false" ht="19.5" hidden="false" customHeight="true" outlineLevel="0" collapsed="false">
      <c r="A62" s="13"/>
      <c r="B62" s="13"/>
      <c r="C62" s="13"/>
      <c r="D62" s="28" t="str">
        <f aca="false">IF(C62="","",IFERROR(INDEX(Epics!$B$5:$B$24,MATCH(C62,Epics!$A$5:$A$24,0)),"Unknown epic"))</f>
        <v/>
      </c>
      <c r="E62" s="12"/>
      <c r="F62" s="12"/>
      <c r="G62" s="12"/>
      <c r="H62" s="12"/>
      <c r="I62" s="13"/>
      <c r="J62" s="13"/>
      <c r="K62" s="13"/>
      <c r="L62" s="29" t="str">
        <f aca="false">IF(OR(J62="",K62="",N(K62)=0),"",ROUND(J62/K62,2))</f>
        <v/>
      </c>
      <c r="M62" s="13"/>
      <c r="N62" s="13"/>
      <c r="O62" s="13"/>
      <c r="P62" s="30" t="str">
        <f aca="false">IF(A62="","",IF(AND(F62&lt;&gt;"",G62&lt;&gt;"",H62&lt;&gt;"",I62&lt;&gt;"",K62&lt;&gt;""),"Yes","No"))</f>
        <v/>
      </c>
      <c r="Q62" s="12"/>
      <c r="R62" s="13"/>
      <c r="S62" s="13"/>
      <c r="T62" s="13"/>
      <c r="U62" s="12"/>
      <c r="V62" s="14"/>
      <c r="W62" s="29" t="str">
        <f aca="false">IF(O62="Blocked",ROW(),"")</f>
        <v/>
      </c>
    </row>
    <row r="63" customFormat="false" ht="19.5" hidden="false" customHeight="true" outlineLevel="0" collapsed="false">
      <c r="A63" s="13"/>
      <c r="B63" s="13"/>
      <c r="C63" s="13"/>
      <c r="D63" s="28" t="str">
        <f aca="false">IF(C63="","",IFERROR(INDEX(Epics!$B$5:$B$24,MATCH(C63,Epics!$A$5:$A$24,0)),"Unknown epic"))</f>
        <v/>
      </c>
      <c r="E63" s="12"/>
      <c r="F63" s="12"/>
      <c r="G63" s="12"/>
      <c r="H63" s="12"/>
      <c r="I63" s="13"/>
      <c r="J63" s="13"/>
      <c r="K63" s="13"/>
      <c r="L63" s="29" t="str">
        <f aca="false">IF(OR(J63="",K63="",N(K63)=0),"",ROUND(J63/K63,2))</f>
        <v/>
      </c>
      <c r="M63" s="13"/>
      <c r="N63" s="13"/>
      <c r="O63" s="13"/>
      <c r="P63" s="30" t="str">
        <f aca="false">IF(A63="","",IF(AND(F63&lt;&gt;"",G63&lt;&gt;"",H63&lt;&gt;"",I63&lt;&gt;"",K63&lt;&gt;""),"Yes","No"))</f>
        <v/>
      </c>
      <c r="Q63" s="12"/>
      <c r="R63" s="13"/>
      <c r="S63" s="13"/>
      <c r="T63" s="13"/>
      <c r="U63" s="12"/>
      <c r="V63" s="14"/>
      <c r="W63" s="29" t="str">
        <f aca="false">IF(O63="Blocked",ROW(),"")</f>
        <v/>
      </c>
    </row>
    <row r="64" customFormat="false" ht="19.5" hidden="false" customHeight="true" outlineLevel="0" collapsed="false">
      <c r="A64" s="13"/>
      <c r="B64" s="13"/>
      <c r="C64" s="13"/>
      <c r="D64" s="28" t="str">
        <f aca="false">IF(C64="","",IFERROR(INDEX(Epics!$B$5:$B$24,MATCH(C64,Epics!$A$5:$A$24,0)),"Unknown epic"))</f>
        <v/>
      </c>
      <c r="E64" s="12"/>
      <c r="F64" s="12"/>
      <c r="G64" s="12"/>
      <c r="H64" s="12"/>
      <c r="I64" s="13"/>
      <c r="J64" s="13"/>
      <c r="K64" s="13"/>
      <c r="L64" s="29" t="str">
        <f aca="false">IF(OR(J64="",K64="",N(K64)=0),"",ROUND(J64/K64,2))</f>
        <v/>
      </c>
      <c r="M64" s="13"/>
      <c r="N64" s="13"/>
      <c r="O64" s="13"/>
      <c r="P64" s="30" t="str">
        <f aca="false">IF(A64="","",IF(AND(F64&lt;&gt;"",G64&lt;&gt;"",H64&lt;&gt;"",I64&lt;&gt;"",K64&lt;&gt;""),"Yes","No"))</f>
        <v/>
      </c>
      <c r="Q64" s="12"/>
      <c r="R64" s="13"/>
      <c r="S64" s="13"/>
      <c r="T64" s="13"/>
      <c r="U64" s="12"/>
      <c r="V64" s="14"/>
      <c r="W64" s="29" t="str">
        <f aca="false">IF(O64="Blocked",ROW(),"")</f>
        <v/>
      </c>
    </row>
    <row r="65" customFormat="false" ht="19.5" hidden="false" customHeight="true" outlineLevel="0" collapsed="false">
      <c r="A65" s="13"/>
      <c r="B65" s="13"/>
      <c r="C65" s="13"/>
      <c r="D65" s="28" t="str">
        <f aca="false">IF(C65="","",IFERROR(INDEX(Epics!$B$5:$B$24,MATCH(C65,Epics!$A$5:$A$24,0)),"Unknown epic"))</f>
        <v/>
      </c>
      <c r="E65" s="12"/>
      <c r="F65" s="12"/>
      <c r="G65" s="12"/>
      <c r="H65" s="12"/>
      <c r="I65" s="13"/>
      <c r="J65" s="13"/>
      <c r="K65" s="13"/>
      <c r="L65" s="29" t="str">
        <f aca="false">IF(OR(J65="",K65="",N(K65)=0),"",ROUND(J65/K65,2))</f>
        <v/>
      </c>
      <c r="M65" s="13"/>
      <c r="N65" s="13"/>
      <c r="O65" s="13"/>
      <c r="P65" s="30" t="str">
        <f aca="false">IF(A65="","",IF(AND(F65&lt;&gt;"",G65&lt;&gt;"",H65&lt;&gt;"",I65&lt;&gt;"",K65&lt;&gt;""),"Yes","No"))</f>
        <v/>
      </c>
      <c r="Q65" s="12"/>
      <c r="R65" s="13"/>
      <c r="S65" s="13"/>
      <c r="T65" s="13"/>
      <c r="U65" s="12"/>
      <c r="V65" s="14"/>
      <c r="W65" s="29" t="str">
        <f aca="false">IF(O65="Blocked",ROW(),"")</f>
        <v/>
      </c>
    </row>
    <row r="66" customFormat="false" ht="19.5" hidden="false" customHeight="true" outlineLevel="0" collapsed="false">
      <c r="A66" s="13"/>
      <c r="B66" s="13"/>
      <c r="C66" s="13"/>
      <c r="D66" s="28" t="str">
        <f aca="false">IF(C66="","",IFERROR(INDEX(Epics!$B$5:$B$24,MATCH(C66,Epics!$A$5:$A$24,0)),"Unknown epic"))</f>
        <v/>
      </c>
      <c r="E66" s="12"/>
      <c r="F66" s="12"/>
      <c r="G66" s="12"/>
      <c r="H66" s="12"/>
      <c r="I66" s="13"/>
      <c r="J66" s="13"/>
      <c r="K66" s="13"/>
      <c r="L66" s="29" t="str">
        <f aca="false">IF(OR(J66="",K66="",N(K66)=0),"",ROUND(J66/K66,2))</f>
        <v/>
      </c>
      <c r="M66" s="13"/>
      <c r="N66" s="13"/>
      <c r="O66" s="13"/>
      <c r="P66" s="30" t="str">
        <f aca="false">IF(A66="","",IF(AND(F66&lt;&gt;"",G66&lt;&gt;"",H66&lt;&gt;"",I66&lt;&gt;"",K66&lt;&gt;""),"Yes","No"))</f>
        <v/>
      </c>
      <c r="Q66" s="12"/>
      <c r="R66" s="13"/>
      <c r="S66" s="13"/>
      <c r="T66" s="13"/>
      <c r="U66" s="12"/>
      <c r="V66" s="14"/>
      <c r="W66" s="29" t="str">
        <f aca="false">IF(O66="Blocked",ROW(),"")</f>
        <v/>
      </c>
    </row>
    <row r="67" customFormat="false" ht="19.5" hidden="false" customHeight="true" outlineLevel="0" collapsed="false">
      <c r="A67" s="13"/>
      <c r="B67" s="13"/>
      <c r="C67" s="13"/>
      <c r="D67" s="28" t="str">
        <f aca="false">IF(C67="","",IFERROR(INDEX(Epics!$B$5:$B$24,MATCH(C67,Epics!$A$5:$A$24,0)),"Unknown epic"))</f>
        <v/>
      </c>
      <c r="E67" s="12"/>
      <c r="F67" s="12"/>
      <c r="G67" s="12"/>
      <c r="H67" s="12"/>
      <c r="I67" s="13"/>
      <c r="J67" s="13"/>
      <c r="K67" s="13"/>
      <c r="L67" s="29" t="str">
        <f aca="false">IF(OR(J67="",K67="",N(K67)=0),"",ROUND(J67/K67,2))</f>
        <v/>
      </c>
      <c r="M67" s="13"/>
      <c r="N67" s="13"/>
      <c r="O67" s="13"/>
      <c r="P67" s="30" t="str">
        <f aca="false">IF(A67="","",IF(AND(F67&lt;&gt;"",G67&lt;&gt;"",H67&lt;&gt;"",I67&lt;&gt;"",K67&lt;&gt;""),"Yes","No"))</f>
        <v/>
      </c>
      <c r="Q67" s="12"/>
      <c r="R67" s="13"/>
      <c r="S67" s="13"/>
      <c r="T67" s="13"/>
      <c r="U67" s="12"/>
      <c r="V67" s="14"/>
      <c r="W67" s="29" t="str">
        <f aca="false">IF(O67="Blocked",ROW(),"")</f>
        <v/>
      </c>
    </row>
    <row r="68" customFormat="false" ht="19.5" hidden="false" customHeight="true" outlineLevel="0" collapsed="false">
      <c r="A68" s="13"/>
      <c r="B68" s="13"/>
      <c r="C68" s="13"/>
      <c r="D68" s="28" t="str">
        <f aca="false">IF(C68="","",IFERROR(INDEX(Epics!$B$5:$B$24,MATCH(C68,Epics!$A$5:$A$24,0)),"Unknown epic"))</f>
        <v/>
      </c>
      <c r="E68" s="12"/>
      <c r="F68" s="12"/>
      <c r="G68" s="12"/>
      <c r="H68" s="12"/>
      <c r="I68" s="13"/>
      <c r="J68" s="13"/>
      <c r="K68" s="13"/>
      <c r="L68" s="29" t="str">
        <f aca="false">IF(OR(J68="",K68="",N(K68)=0),"",ROUND(J68/K68,2))</f>
        <v/>
      </c>
      <c r="M68" s="13"/>
      <c r="N68" s="13"/>
      <c r="O68" s="13"/>
      <c r="P68" s="30" t="str">
        <f aca="false">IF(A68="","",IF(AND(F68&lt;&gt;"",G68&lt;&gt;"",H68&lt;&gt;"",I68&lt;&gt;"",K68&lt;&gt;""),"Yes","No"))</f>
        <v/>
      </c>
      <c r="Q68" s="12"/>
      <c r="R68" s="13"/>
      <c r="S68" s="13"/>
      <c r="T68" s="13"/>
      <c r="U68" s="12"/>
      <c r="V68" s="14"/>
      <c r="W68" s="29" t="str">
        <f aca="false">IF(O68="Blocked",ROW(),"")</f>
        <v/>
      </c>
    </row>
    <row r="69" customFormat="false" ht="19.5" hidden="false" customHeight="true" outlineLevel="0" collapsed="false">
      <c r="A69" s="13"/>
      <c r="B69" s="13"/>
      <c r="C69" s="13"/>
      <c r="D69" s="28" t="str">
        <f aca="false">IF(C69="","",IFERROR(INDEX(Epics!$B$5:$B$24,MATCH(C69,Epics!$A$5:$A$24,0)),"Unknown epic"))</f>
        <v/>
      </c>
      <c r="E69" s="12"/>
      <c r="F69" s="12"/>
      <c r="G69" s="12"/>
      <c r="H69" s="12"/>
      <c r="I69" s="13"/>
      <c r="J69" s="13"/>
      <c r="K69" s="13"/>
      <c r="L69" s="29" t="str">
        <f aca="false">IF(OR(J69="",K69="",N(K69)=0),"",ROUND(J69/K69,2))</f>
        <v/>
      </c>
      <c r="M69" s="13"/>
      <c r="N69" s="13"/>
      <c r="O69" s="13"/>
      <c r="P69" s="30" t="str">
        <f aca="false">IF(A69="","",IF(AND(F69&lt;&gt;"",G69&lt;&gt;"",H69&lt;&gt;"",I69&lt;&gt;"",K69&lt;&gt;""),"Yes","No"))</f>
        <v/>
      </c>
      <c r="Q69" s="12"/>
      <c r="R69" s="13"/>
      <c r="S69" s="13"/>
      <c r="T69" s="13"/>
      <c r="U69" s="12"/>
      <c r="V69" s="14"/>
      <c r="W69" s="29" t="str">
        <f aca="false">IF(O69="Blocked",ROW(),"")</f>
        <v/>
      </c>
    </row>
    <row r="70" customFormat="false" ht="19.5" hidden="false" customHeight="true" outlineLevel="0" collapsed="false">
      <c r="A70" s="13"/>
      <c r="B70" s="13"/>
      <c r="C70" s="13"/>
      <c r="D70" s="28" t="str">
        <f aca="false">IF(C70="","",IFERROR(INDEX(Epics!$B$5:$B$24,MATCH(C70,Epics!$A$5:$A$24,0)),"Unknown epic"))</f>
        <v/>
      </c>
      <c r="E70" s="12"/>
      <c r="F70" s="12"/>
      <c r="G70" s="12"/>
      <c r="H70" s="12"/>
      <c r="I70" s="13"/>
      <c r="J70" s="13"/>
      <c r="K70" s="13"/>
      <c r="L70" s="29" t="str">
        <f aca="false">IF(OR(J70="",K70="",N(K70)=0),"",ROUND(J70/K70,2))</f>
        <v/>
      </c>
      <c r="M70" s="13"/>
      <c r="N70" s="13"/>
      <c r="O70" s="13"/>
      <c r="P70" s="30" t="str">
        <f aca="false">IF(A70="","",IF(AND(F70&lt;&gt;"",G70&lt;&gt;"",H70&lt;&gt;"",I70&lt;&gt;"",K70&lt;&gt;""),"Yes","No"))</f>
        <v/>
      </c>
      <c r="Q70" s="12"/>
      <c r="R70" s="13"/>
      <c r="S70" s="13"/>
      <c r="T70" s="13"/>
      <c r="U70" s="12"/>
      <c r="V70" s="14"/>
      <c r="W70" s="29" t="str">
        <f aca="false">IF(O70="Blocked",ROW(),"")</f>
        <v/>
      </c>
    </row>
    <row r="71" customFormat="false" ht="19.5" hidden="false" customHeight="true" outlineLevel="0" collapsed="false">
      <c r="A71" s="13"/>
      <c r="B71" s="13"/>
      <c r="C71" s="13"/>
      <c r="D71" s="28" t="str">
        <f aca="false">IF(C71="","",IFERROR(INDEX(Epics!$B$5:$B$24,MATCH(C71,Epics!$A$5:$A$24,0)),"Unknown epic"))</f>
        <v/>
      </c>
      <c r="E71" s="12"/>
      <c r="F71" s="12"/>
      <c r="G71" s="12"/>
      <c r="H71" s="12"/>
      <c r="I71" s="13"/>
      <c r="J71" s="13"/>
      <c r="K71" s="13"/>
      <c r="L71" s="29" t="str">
        <f aca="false">IF(OR(J71="",K71="",N(K71)=0),"",ROUND(J71/K71,2))</f>
        <v/>
      </c>
      <c r="M71" s="13"/>
      <c r="N71" s="13"/>
      <c r="O71" s="13"/>
      <c r="P71" s="30" t="str">
        <f aca="false">IF(A71="","",IF(AND(F71&lt;&gt;"",G71&lt;&gt;"",H71&lt;&gt;"",I71&lt;&gt;"",K71&lt;&gt;""),"Yes","No"))</f>
        <v/>
      </c>
      <c r="Q71" s="12"/>
      <c r="R71" s="13"/>
      <c r="S71" s="13"/>
      <c r="T71" s="13"/>
      <c r="U71" s="12"/>
      <c r="V71" s="14"/>
      <c r="W71" s="29" t="str">
        <f aca="false">IF(O71="Blocked",ROW(),"")</f>
        <v/>
      </c>
    </row>
    <row r="72" customFormat="false" ht="19.5" hidden="false" customHeight="true" outlineLevel="0" collapsed="false">
      <c r="A72" s="13"/>
      <c r="B72" s="13"/>
      <c r="C72" s="13"/>
      <c r="D72" s="28" t="str">
        <f aca="false">IF(C72="","",IFERROR(INDEX(Epics!$B$5:$B$24,MATCH(C72,Epics!$A$5:$A$24,0)),"Unknown epic"))</f>
        <v/>
      </c>
      <c r="E72" s="12"/>
      <c r="F72" s="12"/>
      <c r="G72" s="12"/>
      <c r="H72" s="12"/>
      <c r="I72" s="13"/>
      <c r="J72" s="13"/>
      <c r="K72" s="13"/>
      <c r="L72" s="29" t="str">
        <f aca="false">IF(OR(J72="",K72="",N(K72)=0),"",ROUND(J72/K72,2))</f>
        <v/>
      </c>
      <c r="M72" s="13"/>
      <c r="N72" s="13"/>
      <c r="O72" s="13"/>
      <c r="P72" s="30" t="str">
        <f aca="false">IF(A72="","",IF(AND(F72&lt;&gt;"",G72&lt;&gt;"",H72&lt;&gt;"",I72&lt;&gt;"",K72&lt;&gt;""),"Yes","No"))</f>
        <v/>
      </c>
      <c r="Q72" s="12"/>
      <c r="R72" s="13"/>
      <c r="S72" s="13"/>
      <c r="T72" s="13"/>
      <c r="U72" s="12"/>
      <c r="V72" s="14"/>
      <c r="W72" s="29" t="str">
        <f aca="false">IF(O72="Blocked",ROW(),"")</f>
        <v/>
      </c>
    </row>
    <row r="73" customFormat="false" ht="19.5" hidden="false" customHeight="true" outlineLevel="0" collapsed="false">
      <c r="A73" s="13"/>
      <c r="B73" s="13"/>
      <c r="C73" s="13"/>
      <c r="D73" s="28" t="str">
        <f aca="false">IF(C73="","",IFERROR(INDEX(Epics!$B$5:$B$24,MATCH(C73,Epics!$A$5:$A$24,0)),"Unknown epic"))</f>
        <v/>
      </c>
      <c r="E73" s="12"/>
      <c r="F73" s="12"/>
      <c r="G73" s="12"/>
      <c r="H73" s="12"/>
      <c r="I73" s="13"/>
      <c r="J73" s="13"/>
      <c r="K73" s="13"/>
      <c r="L73" s="29" t="str">
        <f aca="false">IF(OR(J73="",K73="",N(K73)=0),"",ROUND(J73/K73,2))</f>
        <v/>
      </c>
      <c r="M73" s="13"/>
      <c r="N73" s="13"/>
      <c r="O73" s="13"/>
      <c r="P73" s="30" t="str">
        <f aca="false">IF(A73="","",IF(AND(F73&lt;&gt;"",G73&lt;&gt;"",H73&lt;&gt;"",I73&lt;&gt;"",K73&lt;&gt;""),"Yes","No"))</f>
        <v/>
      </c>
      <c r="Q73" s="12"/>
      <c r="R73" s="13"/>
      <c r="S73" s="13"/>
      <c r="T73" s="13"/>
      <c r="U73" s="12"/>
      <c r="V73" s="14"/>
      <c r="W73" s="29" t="str">
        <f aca="false">IF(O73="Blocked",ROW(),"")</f>
        <v/>
      </c>
    </row>
    <row r="74" customFormat="false" ht="19.5" hidden="false" customHeight="true" outlineLevel="0" collapsed="false">
      <c r="A74" s="13"/>
      <c r="B74" s="13"/>
      <c r="C74" s="13"/>
      <c r="D74" s="28" t="str">
        <f aca="false">IF(C74="","",IFERROR(INDEX(Epics!$B$5:$B$24,MATCH(C74,Epics!$A$5:$A$24,0)),"Unknown epic"))</f>
        <v/>
      </c>
      <c r="E74" s="12"/>
      <c r="F74" s="12"/>
      <c r="G74" s="12"/>
      <c r="H74" s="12"/>
      <c r="I74" s="13"/>
      <c r="J74" s="13"/>
      <c r="K74" s="13"/>
      <c r="L74" s="29" t="str">
        <f aca="false">IF(OR(J74="",K74="",N(K74)=0),"",ROUND(J74/K74,2))</f>
        <v/>
      </c>
      <c r="M74" s="13"/>
      <c r="N74" s="13"/>
      <c r="O74" s="13"/>
      <c r="P74" s="30" t="str">
        <f aca="false">IF(A74="","",IF(AND(F74&lt;&gt;"",G74&lt;&gt;"",H74&lt;&gt;"",I74&lt;&gt;"",K74&lt;&gt;""),"Yes","No"))</f>
        <v/>
      </c>
      <c r="Q74" s="12"/>
      <c r="R74" s="13"/>
      <c r="S74" s="13"/>
      <c r="T74" s="13"/>
      <c r="U74" s="12"/>
      <c r="V74" s="14"/>
      <c r="W74" s="29" t="str">
        <f aca="false">IF(O74="Blocked",ROW(),"")</f>
        <v/>
      </c>
    </row>
    <row r="75" customFormat="false" ht="19.5" hidden="false" customHeight="true" outlineLevel="0" collapsed="false">
      <c r="A75" s="13"/>
      <c r="B75" s="13"/>
      <c r="C75" s="13"/>
      <c r="D75" s="28" t="str">
        <f aca="false">IF(C75="","",IFERROR(INDEX(Epics!$B$5:$B$24,MATCH(C75,Epics!$A$5:$A$24,0)),"Unknown epic"))</f>
        <v/>
      </c>
      <c r="E75" s="12"/>
      <c r="F75" s="12"/>
      <c r="G75" s="12"/>
      <c r="H75" s="12"/>
      <c r="I75" s="13"/>
      <c r="J75" s="13"/>
      <c r="K75" s="13"/>
      <c r="L75" s="29" t="str">
        <f aca="false">IF(OR(J75="",K75="",N(K75)=0),"",ROUND(J75/K75,2))</f>
        <v/>
      </c>
      <c r="M75" s="13"/>
      <c r="N75" s="13"/>
      <c r="O75" s="13"/>
      <c r="P75" s="30" t="str">
        <f aca="false">IF(A75="","",IF(AND(F75&lt;&gt;"",G75&lt;&gt;"",H75&lt;&gt;"",I75&lt;&gt;"",K75&lt;&gt;""),"Yes","No"))</f>
        <v/>
      </c>
      <c r="Q75" s="12"/>
      <c r="R75" s="13"/>
      <c r="S75" s="13"/>
      <c r="T75" s="13"/>
      <c r="U75" s="12"/>
      <c r="V75" s="14"/>
      <c r="W75" s="29" t="str">
        <f aca="false">IF(O75="Blocked",ROW(),"")</f>
        <v/>
      </c>
    </row>
    <row r="76" customFormat="false" ht="19.5" hidden="false" customHeight="true" outlineLevel="0" collapsed="false">
      <c r="A76" s="13"/>
      <c r="B76" s="13"/>
      <c r="C76" s="13"/>
      <c r="D76" s="28" t="str">
        <f aca="false">IF(C76="","",IFERROR(INDEX(Epics!$B$5:$B$24,MATCH(C76,Epics!$A$5:$A$24,0)),"Unknown epic"))</f>
        <v/>
      </c>
      <c r="E76" s="12"/>
      <c r="F76" s="12"/>
      <c r="G76" s="12"/>
      <c r="H76" s="12"/>
      <c r="I76" s="13"/>
      <c r="J76" s="13"/>
      <c r="K76" s="13"/>
      <c r="L76" s="29" t="str">
        <f aca="false">IF(OR(J76="",K76="",N(K76)=0),"",ROUND(J76/K76,2))</f>
        <v/>
      </c>
      <c r="M76" s="13"/>
      <c r="N76" s="13"/>
      <c r="O76" s="13"/>
      <c r="P76" s="30" t="str">
        <f aca="false">IF(A76="","",IF(AND(F76&lt;&gt;"",G76&lt;&gt;"",H76&lt;&gt;"",I76&lt;&gt;"",K76&lt;&gt;""),"Yes","No"))</f>
        <v/>
      </c>
      <c r="Q76" s="12"/>
      <c r="R76" s="13"/>
      <c r="S76" s="13"/>
      <c r="T76" s="13"/>
      <c r="U76" s="12"/>
      <c r="V76" s="14"/>
      <c r="W76" s="29" t="str">
        <f aca="false">IF(O76="Blocked",ROW(),"")</f>
        <v/>
      </c>
    </row>
    <row r="77" customFormat="false" ht="19.5" hidden="false" customHeight="true" outlineLevel="0" collapsed="false">
      <c r="A77" s="13"/>
      <c r="B77" s="13"/>
      <c r="C77" s="13"/>
      <c r="D77" s="28" t="str">
        <f aca="false">IF(C77="","",IFERROR(INDEX(Epics!$B$5:$B$24,MATCH(C77,Epics!$A$5:$A$24,0)),"Unknown epic"))</f>
        <v/>
      </c>
      <c r="E77" s="12"/>
      <c r="F77" s="12"/>
      <c r="G77" s="12"/>
      <c r="H77" s="12"/>
      <c r="I77" s="13"/>
      <c r="J77" s="13"/>
      <c r="K77" s="13"/>
      <c r="L77" s="29" t="str">
        <f aca="false">IF(OR(J77="",K77="",N(K77)=0),"",ROUND(J77/K77,2))</f>
        <v/>
      </c>
      <c r="M77" s="13"/>
      <c r="N77" s="13"/>
      <c r="O77" s="13"/>
      <c r="P77" s="30" t="str">
        <f aca="false">IF(A77="","",IF(AND(F77&lt;&gt;"",G77&lt;&gt;"",H77&lt;&gt;"",I77&lt;&gt;"",K77&lt;&gt;""),"Yes","No"))</f>
        <v/>
      </c>
      <c r="Q77" s="12"/>
      <c r="R77" s="13"/>
      <c r="S77" s="13"/>
      <c r="T77" s="13"/>
      <c r="U77" s="12"/>
      <c r="V77" s="14"/>
      <c r="W77" s="29" t="str">
        <f aca="false">IF(O77="Blocked",ROW(),"")</f>
        <v/>
      </c>
    </row>
    <row r="78" customFormat="false" ht="19.5" hidden="false" customHeight="true" outlineLevel="0" collapsed="false">
      <c r="A78" s="13"/>
      <c r="B78" s="13"/>
      <c r="C78" s="13"/>
      <c r="D78" s="28" t="str">
        <f aca="false">IF(C78="","",IFERROR(INDEX(Epics!$B$5:$B$24,MATCH(C78,Epics!$A$5:$A$24,0)),"Unknown epic"))</f>
        <v/>
      </c>
      <c r="E78" s="12"/>
      <c r="F78" s="12"/>
      <c r="G78" s="12"/>
      <c r="H78" s="12"/>
      <c r="I78" s="13"/>
      <c r="J78" s="13"/>
      <c r="K78" s="13"/>
      <c r="L78" s="29" t="str">
        <f aca="false">IF(OR(J78="",K78="",N(K78)=0),"",ROUND(J78/K78,2))</f>
        <v/>
      </c>
      <c r="M78" s="13"/>
      <c r="N78" s="13"/>
      <c r="O78" s="13"/>
      <c r="P78" s="30" t="str">
        <f aca="false">IF(A78="","",IF(AND(F78&lt;&gt;"",G78&lt;&gt;"",H78&lt;&gt;"",I78&lt;&gt;"",K78&lt;&gt;""),"Yes","No"))</f>
        <v/>
      </c>
      <c r="Q78" s="12"/>
      <c r="R78" s="13"/>
      <c r="S78" s="13"/>
      <c r="T78" s="13"/>
      <c r="U78" s="12"/>
      <c r="V78" s="14"/>
      <c r="W78" s="29" t="str">
        <f aca="false">IF(O78="Blocked",ROW(),"")</f>
        <v/>
      </c>
    </row>
    <row r="79" customFormat="false" ht="19.5" hidden="false" customHeight="true" outlineLevel="0" collapsed="false">
      <c r="A79" s="13"/>
      <c r="B79" s="13"/>
      <c r="C79" s="13"/>
      <c r="D79" s="28" t="str">
        <f aca="false">IF(C79="","",IFERROR(INDEX(Epics!$B$5:$B$24,MATCH(C79,Epics!$A$5:$A$24,0)),"Unknown epic"))</f>
        <v/>
      </c>
      <c r="E79" s="12"/>
      <c r="F79" s="12"/>
      <c r="G79" s="12"/>
      <c r="H79" s="12"/>
      <c r="I79" s="13"/>
      <c r="J79" s="13"/>
      <c r="K79" s="13"/>
      <c r="L79" s="29" t="str">
        <f aca="false">IF(OR(J79="",K79="",N(K79)=0),"",ROUND(J79/K79,2))</f>
        <v/>
      </c>
      <c r="M79" s="13"/>
      <c r="N79" s="13"/>
      <c r="O79" s="13"/>
      <c r="P79" s="30" t="str">
        <f aca="false">IF(A79="","",IF(AND(F79&lt;&gt;"",G79&lt;&gt;"",H79&lt;&gt;"",I79&lt;&gt;"",K79&lt;&gt;""),"Yes","No"))</f>
        <v/>
      </c>
      <c r="Q79" s="12"/>
      <c r="R79" s="13"/>
      <c r="S79" s="13"/>
      <c r="T79" s="13"/>
      <c r="U79" s="12"/>
      <c r="V79" s="14"/>
      <c r="W79" s="29" t="str">
        <f aca="false">IF(O79="Blocked",ROW(),"")</f>
        <v/>
      </c>
    </row>
    <row r="80" customFormat="false" ht="19.5" hidden="false" customHeight="true" outlineLevel="0" collapsed="false">
      <c r="A80" s="13"/>
      <c r="B80" s="13"/>
      <c r="C80" s="13"/>
      <c r="D80" s="28" t="str">
        <f aca="false">IF(C80="","",IFERROR(INDEX(Epics!$B$5:$B$24,MATCH(C80,Epics!$A$5:$A$24,0)),"Unknown epic"))</f>
        <v/>
      </c>
      <c r="E80" s="12"/>
      <c r="F80" s="12"/>
      <c r="G80" s="12"/>
      <c r="H80" s="12"/>
      <c r="I80" s="13"/>
      <c r="J80" s="13"/>
      <c r="K80" s="13"/>
      <c r="L80" s="29" t="str">
        <f aca="false">IF(OR(J80="",K80="",N(K80)=0),"",ROUND(J80/K80,2))</f>
        <v/>
      </c>
      <c r="M80" s="13"/>
      <c r="N80" s="13"/>
      <c r="O80" s="13"/>
      <c r="P80" s="30" t="str">
        <f aca="false">IF(A80="","",IF(AND(F80&lt;&gt;"",G80&lt;&gt;"",H80&lt;&gt;"",I80&lt;&gt;"",K80&lt;&gt;""),"Yes","No"))</f>
        <v/>
      </c>
      <c r="Q80" s="12"/>
      <c r="R80" s="13"/>
      <c r="S80" s="13"/>
      <c r="T80" s="13"/>
      <c r="U80" s="12"/>
      <c r="V80" s="14"/>
      <c r="W80" s="29" t="str">
        <f aca="false">IF(O80="Blocked",ROW(),"")</f>
        <v/>
      </c>
    </row>
    <row r="81" customFormat="false" ht="19.5" hidden="false" customHeight="true" outlineLevel="0" collapsed="false">
      <c r="A81" s="13"/>
      <c r="B81" s="13"/>
      <c r="C81" s="13"/>
      <c r="D81" s="28" t="str">
        <f aca="false">IF(C81="","",IFERROR(INDEX(Epics!$B$5:$B$24,MATCH(C81,Epics!$A$5:$A$24,0)),"Unknown epic"))</f>
        <v/>
      </c>
      <c r="E81" s="12"/>
      <c r="F81" s="12"/>
      <c r="G81" s="12"/>
      <c r="H81" s="12"/>
      <c r="I81" s="13"/>
      <c r="J81" s="13"/>
      <c r="K81" s="13"/>
      <c r="L81" s="29" t="str">
        <f aca="false">IF(OR(J81="",K81="",N(K81)=0),"",ROUND(J81/K81,2))</f>
        <v/>
      </c>
      <c r="M81" s="13"/>
      <c r="N81" s="13"/>
      <c r="O81" s="13"/>
      <c r="P81" s="30" t="str">
        <f aca="false">IF(A81="","",IF(AND(F81&lt;&gt;"",G81&lt;&gt;"",H81&lt;&gt;"",I81&lt;&gt;"",K81&lt;&gt;""),"Yes","No"))</f>
        <v/>
      </c>
      <c r="Q81" s="12"/>
      <c r="R81" s="13"/>
      <c r="S81" s="13"/>
      <c r="T81" s="13"/>
      <c r="U81" s="12"/>
      <c r="V81" s="14"/>
      <c r="W81" s="29" t="str">
        <f aca="false">IF(O81="Blocked",ROW(),"")</f>
        <v/>
      </c>
    </row>
    <row r="82" customFormat="false" ht="19.5" hidden="false" customHeight="true" outlineLevel="0" collapsed="false">
      <c r="A82" s="13"/>
      <c r="B82" s="13"/>
      <c r="C82" s="13"/>
      <c r="D82" s="28" t="str">
        <f aca="false">IF(C82="","",IFERROR(INDEX(Epics!$B$5:$B$24,MATCH(C82,Epics!$A$5:$A$24,0)),"Unknown epic"))</f>
        <v/>
      </c>
      <c r="E82" s="12"/>
      <c r="F82" s="12"/>
      <c r="G82" s="12"/>
      <c r="H82" s="12"/>
      <c r="I82" s="13"/>
      <c r="J82" s="13"/>
      <c r="K82" s="13"/>
      <c r="L82" s="29" t="str">
        <f aca="false">IF(OR(J82="",K82="",N(K82)=0),"",ROUND(J82/K82,2))</f>
        <v/>
      </c>
      <c r="M82" s="13"/>
      <c r="N82" s="13"/>
      <c r="O82" s="13"/>
      <c r="P82" s="30" t="str">
        <f aca="false">IF(A82="","",IF(AND(F82&lt;&gt;"",G82&lt;&gt;"",H82&lt;&gt;"",I82&lt;&gt;"",K82&lt;&gt;""),"Yes","No"))</f>
        <v/>
      </c>
      <c r="Q82" s="12"/>
      <c r="R82" s="13"/>
      <c r="S82" s="13"/>
      <c r="T82" s="13"/>
      <c r="U82" s="12"/>
      <c r="V82" s="14"/>
      <c r="W82" s="29" t="str">
        <f aca="false">IF(O82="Blocked",ROW(),"")</f>
        <v/>
      </c>
    </row>
    <row r="83" customFormat="false" ht="19.5" hidden="false" customHeight="true" outlineLevel="0" collapsed="false">
      <c r="A83" s="13"/>
      <c r="B83" s="13"/>
      <c r="C83" s="13"/>
      <c r="D83" s="28" t="str">
        <f aca="false">IF(C83="","",IFERROR(INDEX(Epics!$B$5:$B$24,MATCH(C83,Epics!$A$5:$A$24,0)),"Unknown epic"))</f>
        <v/>
      </c>
      <c r="E83" s="12"/>
      <c r="F83" s="12"/>
      <c r="G83" s="12"/>
      <c r="H83" s="12"/>
      <c r="I83" s="13"/>
      <c r="J83" s="13"/>
      <c r="K83" s="13"/>
      <c r="L83" s="29" t="str">
        <f aca="false">IF(OR(J83="",K83="",N(K83)=0),"",ROUND(J83/K83,2))</f>
        <v/>
      </c>
      <c r="M83" s="13"/>
      <c r="N83" s="13"/>
      <c r="O83" s="13"/>
      <c r="P83" s="30" t="str">
        <f aca="false">IF(A83="","",IF(AND(F83&lt;&gt;"",G83&lt;&gt;"",H83&lt;&gt;"",I83&lt;&gt;"",K83&lt;&gt;""),"Yes","No"))</f>
        <v/>
      </c>
      <c r="Q83" s="12"/>
      <c r="R83" s="13"/>
      <c r="S83" s="13"/>
      <c r="T83" s="13"/>
      <c r="U83" s="12"/>
      <c r="V83" s="14"/>
      <c r="W83" s="29" t="str">
        <f aca="false">IF(O83="Blocked",ROW(),"")</f>
        <v/>
      </c>
    </row>
    <row r="84" customFormat="false" ht="19.5" hidden="false" customHeight="true" outlineLevel="0" collapsed="false">
      <c r="A84" s="13"/>
      <c r="B84" s="13"/>
      <c r="C84" s="13"/>
      <c r="D84" s="28" t="str">
        <f aca="false">IF(C84="","",IFERROR(INDEX(Epics!$B$5:$B$24,MATCH(C84,Epics!$A$5:$A$24,0)),"Unknown epic"))</f>
        <v/>
      </c>
      <c r="E84" s="12"/>
      <c r="F84" s="12"/>
      <c r="G84" s="12"/>
      <c r="H84" s="12"/>
      <c r="I84" s="13"/>
      <c r="J84" s="13"/>
      <c r="K84" s="13"/>
      <c r="L84" s="29" t="str">
        <f aca="false">IF(OR(J84="",K84="",N(K84)=0),"",ROUND(J84/K84,2))</f>
        <v/>
      </c>
      <c r="M84" s="13"/>
      <c r="N84" s="13"/>
      <c r="O84" s="13"/>
      <c r="P84" s="30" t="str">
        <f aca="false">IF(A84="","",IF(AND(F84&lt;&gt;"",G84&lt;&gt;"",H84&lt;&gt;"",I84&lt;&gt;"",K84&lt;&gt;""),"Yes","No"))</f>
        <v/>
      </c>
      <c r="Q84" s="12"/>
      <c r="R84" s="13"/>
      <c r="S84" s="13"/>
      <c r="T84" s="13"/>
      <c r="U84" s="12"/>
      <c r="V84" s="14"/>
      <c r="W84" s="29" t="str">
        <f aca="false">IF(O84="Blocked",ROW(),"")</f>
        <v/>
      </c>
    </row>
    <row r="85" customFormat="false" ht="19.5" hidden="false" customHeight="true" outlineLevel="0" collapsed="false">
      <c r="A85" s="13"/>
      <c r="B85" s="13"/>
      <c r="C85" s="13"/>
      <c r="D85" s="28" t="str">
        <f aca="false">IF(C85="","",IFERROR(INDEX(Epics!$B$5:$B$24,MATCH(C85,Epics!$A$5:$A$24,0)),"Unknown epic"))</f>
        <v/>
      </c>
      <c r="E85" s="12"/>
      <c r="F85" s="12"/>
      <c r="G85" s="12"/>
      <c r="H85" s="12"/>
      <c r="I85" s="13"/>
      <c r="J85" s="13"/>
      <c r="K85" s="13"/>
      <c r="L85" s="29" t="str">
        <f aca="false">IF(OR(J85="",K85="",N(K85)=0),"",ROUND(J85/K85,2))</f>
        <v/>
      </c>
      <c r="M85" s="13"/>
      <c r="N85" s="13"/>
      <c r="O85" s="13"/>
      <c r="P85" s="30" t="str">
        <f aca="false">IF(A85="","",IF(AND(F85&lt;&gt;"",G85&lt;&gt;"",H85&lt;&gt;"",I85&lt;&gt;"",K85&lt;&gt;""),"Yes","No"))</f>
        <v/>
      </c>
      <c r="Q85" s="12"/>
      <c r="R85" s="13"/>
      <c r="S85" s="13"/>
      <c r="T85" s="13"/>
      <c r="U85" s="12"/>
      <c r="V85" s="14"/>
      <c r="W85" s="29" t="str">
        <f aca="false">IF(O85="Blocked",ROW(),"")</f>
        <v/>
      </c>
    </row>
    <row r="86" customFormat="false" ht="19.5" hidden="false" customHeight="true" outlineLevel="0" collapsed="false">
      <c r="A86" s="13"/>
      <c r="B86" s="13"/>
      <c r="C86" s="13"/>
      <c r="D86" s="28" t="str">
        <f aca="false">IF(C86="","",IFERROR(INDEX(Epics!$B$5:$B$24,MATCH(C86,Epics!$A$5:$A$24,0)),"Unknown epic"))</f>
        <v/>
      </c>
      <c r="E86" s="12"/>
      <c r="F86" s="12"/>
      <c r="G86" s="12"/>
      <c r="H86" s="12"/>
      <c r="I86" s="13"/>
      <c r="J86" s="13"/>
      <c r="K86" s="13"/>
      <c r="L86" s="29" t="str">
        <f aca="false">IF(OR(J86="",K86="",N(K86)=0),"",ROUND(J86/K86,2))</f>
        <v/>
      </c>
      <c r="M86" s="13"/>
      <c r="N86" s="13"/>
      <c r="O86" s="13"/>
      <c r="P86" s="30" t="str">
        <f aca="false">IF(A86="","",IF(AND(F86&lt;&gt;"",G86&lt;&gt;"",H86&lt;&gt;"",I86&lt;&gt;"",K86&lt;&gt;""),"Yes","No"))</f>
        <v/>
      </c>
      <c r="Q86" s="12"/>
      <c r="R86" s="13"/>
      <c r="S86" s="13"/>
      <c r="T86" s="13"/>
      <c r="U86" s="12"/>
      <c r="V86" s="14"/>
      <c r="W86" s="29" t="str">
        <f aca="false">IF(O86="Blocked",ROW(),"")</f>
        <v/>
      </c>
    </row>
    <row r="87" customFormat="false" ht="19.5" hidden="false" customHeight="true" outlineLevel="0" collapsed="false">
      <c r="A87" s="13"/>
      <c r="B87" s="13"/>
      <c r="C87" s="13"/>
      <c r="D87" s="28" t="str">
        <f aca="false">IF(C87="","",IFERROR(INDEX(Epics!$B$5:$B$24,MATCH(C87,Epics!$A$5:$A$24,0)),"Unknown epic"))</f>
        <v/>
      </c>
      <c r="E87" s="12"/>
      <c r="F87" s="12"/>
      <c r="G87" s="12"/>
      <c r="H87" s="12"/>
      <c r="I87" s="13"/>
      <c r="J87" s="13"/>
      <c r="K87" s="13"/>
      <c r="L87" s="29" t="str">
        <f aca="false">IF(OR(J87="",K87="",N(K87)=0),"",ROUND(J87/K87,2))</f>
        <v/>
      </c>
      <c r="M87" s="13"/>
      <c r="N87" s="13"/>
      <c r="O87" s="13"/>
      <c r="P87" s="30" t="str">
        <f aca="false">IF(A87="","",IF(AND(F87&lt;&gt;"",G87&lt;&gt;"",H87&lt;&gt;"",I87&lt;&gt;"",K87&lt;&gt;""),"Yes","No"))</f>
        <v/>
      </c>
      <c r="Q87" s="12"/>
      <c r="R87" s="13"/>
      <c r="S87" s="13"/>
      <c r="T87" s="13"/>
      <c r="U87" s="12"/>
      <c r="V87" s="14"/>
      <c r="W87" s="29" t="str">
        <f aca="false">IF(O87="Blocked",ROW(),"")</f>
        <v/>
      </c>
    </row>
    <row r="88" customFormat="false" ht="19.5" hidden="false" customHeight="true" outlineLevel="0" collapsed="false">
      <c r="A88" s="13"/>
      <c r="B88" s="13"/>
      <c r="C88" s="13"/>
      <c r="D88" s="28" t="str">
        <f aca="false">IF(C88="","",IFERROR(INDEX(Epics!$B$5:$B$24,MATCH(C88,Epics!$A$5:$A$24,0)),"Unknown epic"))</f>
        <v/>
      </c>
      <c r="E88" s="12"/>
      <c r="F88" s="12"/>
      <c r="G88" s="12"/>
      <c r="H88" s="12"/>
      <c r="I88" s="13"/>
      <c r="J88" s="13"/>
      <c r="K88" s="13"/>
      <c r="L88" s="29" t="str">
        <f aca="false">IF(OR(J88="",K88="",N(K88)=0),"",ROUND(J88/K88,2))</f>
        <v/>
      </c>
      <c r="M88" s="13"/>
      <c r="N88" s="13"/>
      <c r="O88" s="13"/>
      <c r="P88" s="30" t="str">
        <f aca="false">IF(A88="","",IF(AND(F88&lt;&gt;"",G88&lt;&gt;"",H88&lt;&gt;"",I88&lt;&gt;"",K88&lt;&gt;""),"Yes","No"))</f>
        <v/>
      </c>
      <c r="Q88" s="12"/>
      <c r="R88" s="13"/>
      <c r="S88" s="13"/>
      <c r="T88" s="13"/>
      <c r="U88" s="12"/>
      <c r="V88" s="14"/>
      <c r="W88" s="29" t="str">
        <f aca="false">IF(O88="Blocked",ROW(),"")</f>
        <v/>
      </c>
    </row>
    <row r="89" customFormat="false" ht="19.5" hidden="false" customHeight="true" outlineLevel="0" collapsed="false">
      <c r="A89" s="13"/>
      <c r="B89" s="13"/>
      <c r="C89" s="13"/>
      <c r="D89" s="28" t="str">
        <f aca="false">IF(C89="","",IFERROR(INDEX(Epics!$B$5:$B$24,MATCH(C89,Epics!$A$5:$A$24,0)),"Unknown epic"))</f>
        <v/>
      </c>
      <c r="E89" s="12"/>
      <c r="F89" s="12"/>
      <c r="G89" s="12"/>
      <c r="H89" s="12"/>
      <c r="I89" s="13"/>
      <c r="J89" s="13"/>
      <c r="K89" s="13"/>
      <c r="L89" s="29" t="str">
        <f aca="false">IF(OR(J89="",K89="",N(K89)=0),"",ROUND(J89/K89,2))</f>
        <v/>
      </c>
      <c r="M89" s="13"/>
      <c r="N89" s="13"/>
      <c r="O89" s="13"/>
      <c r="P89" s="30" t="str">
        <f aca="false">IF(A89="","",IF(AND(F89&lt;&gt;"",G89&lt;&gt;"",H89&lt;&gt;"",I89&lt;&gt;"",K89&lt;&gt;""),"Yes","No"))</f>
        <v/>
      </c>
      <c r="Q89" s="12"/>
      <c r="R89" s="13"/>
      <c r="S89" s="13"/>
      <c r="T89" s="13"/>
      <c r="U89" s="12"/>
      <c r="V89" s="14"/>
      <c r="W89" s="29" t="str">
        <f aca="false">IF(O89="Blocked",ROW(),"")</f>
        <v/>
      </c>
    </row>
    <row r="90" customFormat="false" ht="19.5" hidden="false" customHeight="true" outlineLevel="0" collapsed="false">
      <c r="A90" s="13"/>
      <c r="B90" s="13"/>
      <c r="C90" s="13"/>
      <c r="D90" s="28" t="str">
        <f aca="false">IF(C90="","",IFERROR(INDEX(Epics!$B$5:$B$24,MATCH(C90,Epics!$A$5:$A$24,0)),"Unknown epic"))</f>
        <v/>
      </c>
      <c r="E90" s="12"/>
      <c r="F90" s="12"/>
      <c r="G90" s="12"/>
      <c r="H90" s="12"/>
      <c r="I90" s="13"/>
      <c r="J90" s="13"/>
      <c r="K90" s="13"/>
      <c r="L90" s="29" t="str">
        <f aca="false">IF(OR(J90="",K90="",N(K90)=0),"",ROUND(J90/K90,2))</f>
        <v/>
      </c>
      <c r="M90" s="13"/>
      <c r="N90" s="13"/>
      <c r="O90" s="13"/>
      <c r="P90" s="30" t="str">
        <f aca="false">IF(A90="","",IF(AND(F90&lt;&gt;"",G90&lt;&gt;"",H90&lt;&gt;"",I90&lt;&gt;"",K90&lt;&gt;""),"Yes","No"))</f>
        <v/>
      </c>
      <c r="Q90" s="12"/>
      <c r="R90" s="13"/>
      <c r="S90" s="13"/>
      <c r="T90" s="13"/>
      <c r="U90" s="12"/>
      <c r="V90" s="14"/>
      <c r="W90" s="29" t="str">
        <f aca="false">IF(O90="Blocked",ROW(),"")</f>
        <v/>
      </c>
    </row>
    <row r="91" customFormat="false" ht="19.5" hidden="false" customHeight="true" outlineLevel="0" collapsed="false">
      <c r="A91" s="13"/>
      <c r="B91" s="13"/>
      <c r="C91" s="13"/>
      <c r="D91" s="28" t="str">
        <f aca="false">IF(C91="","",IFERROR(INDEX(Epics!$B$5:$B$24,MATCH(C91,Epics!$A$5:$A$24,0)),"Unknown epic"))</f>
        <v/>
      </c>
      <c r="E91" s="12"/>
      <c r="F91" s="12"/>
      <c r="G91" s="12"/>
      <c r="H91" s="12"/>
      <c r="I91" s="13"/>
      <c r="J91" s="13"/>
      <c r="K91" s="13"/>
      <c r="L91" s="29" t="str">
        <f aca="false">IF(OR(J91="",K91="",N(K91)=0),"",ROUND(J91/K91,2))</f>
        <v/>
      </c>
      <c r="M91" s="13"/>
      <c r="N91" s="13"/>
      <c r="O91" s="13"/>
      <c r="P91" s="30" t="str">
        <f aca="false">IF(A91="","",IF(AND(F91&lt;&gt;"",G91&lt;&gt;"",H91&lt;&gt;"",I91&lt;&gt;"",K91&lt;&gt;""),"Yes","No"))</f>
        <v/>
      </c>
      <c r="Q91" s="12"/>
      <c r="R91" s="13"/>
      <c r="S91" s="13"/>
      <c r="T91" s="13"/>
      <c r="U91" s="12"/>
      <c r="V91" s="14"/>
      <c r="W91" s="29" t="str">
        <f aca="false">IF(O91="Blocked",ROW(),"")</f>
        <v/>
      </c>
    </row>
    <row r="92" customFormat="false" ht="19.5" hidden="false" customHeight="true" outlineLevel="0" collapsed="false">
      <c r="A92" s="13"/>
      <c r="B92" s="13"/>
      <c r="C92" s="13"/>
      <c r="D92" s="28" t="str">
        <f aca="false">IF(C92="","",IFERROR(INDEX(Epics!$B$5:$B$24,MATCH(C92,Epics!$A$5:$A$24,0)),"Unknown epic"))</f>
        <v/>
      </c>
      <c r="E92" s="12"/>
      <c r="F92" s="12"/>
      <c r="G92" s="12"/>
      <c r="H92" s="12"/>
      <c r="I92" s="13"/>
      <c r="J92" s="13"/>
      <c r="K92" s="13"/>
      <c r="L92" s="29" t="str">
        <f aca="false">IF(OR(J92="",K92="",N(K92)=0),"",ROUND(J92/K92,2))</f>
        <v/>
      </c>
      <c r="M92" s="13"/>
      <c r="N92" s="13"/>
      <c r="O92" s="13"/>
      <c r="P92" s="30" t="str">
        <f aca="false">IF(A92="","",IF(AND(F92&lt;&gt;"",G92&lt;&gt;"",H92&lt;&gt;"",I92&lt;&gt;"",K92&lt;&gt;""),"Yes","No"))</f>
        <v/>
      </c>
      <c r="Q92" s="12"/>
      <c r="R92" s="13"/>
      <c r="S92" s="13"/>
      <c r="T92" s="13"/>
      <c r="U92" s="12"/>
      <c r="V92" s="14"/>
      <c r="W92" s="29" t="str">
        <f aca="false">IF(O92="Blocked",ROW(),"")</f>
        <v/>
      </c>
    </row>
    <row r="93" customFormat="false" ht="19.5" hidden="false" customHeight="true" outlineLevel="0" collapsed="false">
      <c r="A93" s="13"/>
      <c r="B93" s="13"/>
      <c r="C93" s="13"/>
      <c r="D93" s="28" t="str">
        <f aca="false">IF(C93="","",IFERROR(INDEX(Epics!$B$5:$B$24,MATCH(C93,Epics!$A$5:$A$24,0)),"Unknown epic"))</f>
        <v/>
      </c>
      <c r="E93" s="12"/>
      <c r="F93" s="12"/>
      <c r="G93" s="12"/>
      <c r="H93" s="12"/>
      <c r="I93" s="13"/>
      <c r="J93" s="13"/>
      <c r="K93" s="13"/>
      <c r="L93" s="29" t="str">
        <f aca="false">IF(OR(J93="",K93="",N(K93)=0),"",ROUND(J93/K93,2))</f>
        <v/>
      </c>
      <c r="M93" s="13"/>
      <c r="N93" s="13"/>
      <c r="O93" s="13"/>
      <c r="P93" s="30" t="str">
        <f aca="false">IF(A93="","",IF(AND(F93&lt;&gt;"",G93&lt;&gt;"",H93&lt;&gt;"",I93&lt;&gt;"",K93&lt;&gt;""),"Yes","No"))</f>
        <v/>
      </c>
      <c r="Q93" s="12"/>
      <c r="R93" s="13"/>
      <c r="S93" s="13"/>
      <c r="T93" s="13"/>
      <c r="U93" s="12"/>
      <c r="V93" s="14"/>
      <c r="W93" s="29" t="str">
        <f aca="false">IF(O93="Blocked",ROW(),"")</f>
        <v/>
      </c>
    </row>
    <row r="94" customFormat="false" ht="19.5" hidden="false" customHeight="true" outlineLevel="0" collapsed="false">
      <c r="A94" s="13"/>
      <c r="B94" s="13"/>
      <c r="C94" s="13"/>
      <c r="D94" s="28" t="str">
        <f aca="false">IF(C94="","",IFERROR(INDEX(Epics!$B$5:$B$24,MATCH(C94,Epics!$A$5:$A$24,0)),"Unknown epic"))</f>
        <v/>
      </c>
      <c r="E94" s="12"/>
      <c r="F94" s="12"/>
      <c r="G94" s="12"/>
      <c r="H94" s="12"/>
      <c r="I94" s="13"/>
      <c r="J94" s="13"/>
      <c r="K94" s="13"/>
      <c r="L94" s="29" t="str">
        <f aca="false">IF(OR(J94="",K94="",N(K94)=0),"",ROUND(J94/K94,2))</f>
        <v/>
      </c>
      <c r="M94" s="13"/>
      <c r="N94" s="13"/>
      <c r="O94" s="13"/>
      <c r="P94" s="30" t="str">
        <f aca="false">IF(A94="","",IF(AND(F94&lt;&gt;"",G94&lt;&gt;"",H94&lt;&gt;"",I94&lt;&gt;"",K94&lt;&gt;""),"Yes","No"))</f>
        <v/>
      </c>
      <c r="Q94" s="12"/>
      <c r="R94" s="13"/>
      <c r="S94" s="13"/>
      <c r="T94" s="13"/>
      <c r="U94" s="12"/>
      <c r="V94" s="14"/>
      <c r="W94" s="29" t="str">
        <f aca="false">IF(O94="Blocked",ROW(),"")</f>
        <v/>
      </c>
    </row>
    <row r="95" customFormat="false" ht="19.5" hidden="false" customHeight="true" outlineLevel="0" collapsed="false">
      <c r="A95" s="13"/>
      <c r="B95" s="13"/>
      <c r="C95" s="13"/>
      <c r="D95" s="28" t="str">
        <f aca="false">IF(C95="","",IFERROR(INDEX(Epics!$B$5:$B$24,MATCH(C95,Epics!$A$5:$A$24,0)),"Unknown epic"))</f>
        <v/>
      </c>
      <c r="E95" s="12"/>
      <c r="F95" s="12"/>
      <c r="G95" s="12"/>
      <c r="H95" s="12"/>
      <c r="I95" s="13"/>
      <c r="J95" s="13"/>
      <c r="K95" s="13"/>
      <c r="L95" s="29" t="str">
        <f aca="false">IF(OR(J95="",K95="",N(K95)=0),"",ROUND(J95/K95,2))</f>
        <v/>
      </c>
      <c r="M95" s="13"/>
      <c r="N95" s="13"/>
      <c r="O95" s="13"/>
      <c r="P95" s="30" t="str">
        <f aca="false">IF(A95="","",IF(AND(F95&lt;&gt;"",G95&lt;&gt;"",H95&lt;&gt;"",I95&lt;&gt;"",K95&lt;&gt;""),"Yes","No"))</f>
        <v/>
      </c>
      <c r="Q95" s="12"/>
      <c r="R95" s="13"/>
      <c r="S95" s="13"/>
      <c r="T95" s="13"/>
      <c r="U95" s="12"/>
      <c r="V95" s="14"/>
      <c r="W95" s="29" t="str">
        <f aca="false">IF(O95="Blocked",ROW(),"")</f>
        <v/>
      </c>
    </row>
    <row r="96" customFormat="false" ht="19.5" hidden="false" customHeight="true" outlineLevel="0" collapsed="false">
      <c r="A96" s="13"/>
      <c r="B96" s="13"/>
      <c r="C96" s="13"/>
      <c r="D96" s="28" t="str">
        <f aca="false">IF(C96="","",IFERROR(INDEX(Epics!$B$5:$B$24,MATCH(C96,Epics!$A$5:$A$24,0)),"Unknown epic"))</f>
        <v/>
      </c>
      <c r="E96" s="12"/>
      <c r="F96" s="12"/>
      <c r="G96" s="12"/>
      <c r="H96" s="12"/>
      <c r="I96" s="13"/>
      <c r="J96" s="13"/>
      <c r="K96" s="13"/>
      <c r="L96" s="29" t="str">
        <f aca="false">IF(OR(J96="",K96="",N(K96)=0),"",ROUND(J96/K96,2))</f>
        <v/>
      </c>
      <c r="M96" s="13"/>
      <c r="N96" s="13"/>
      <c r="O96" s="13"/>
      <c r="P96" s="30" t="str">
        <f aca="false">IF(A96="","",IF(AND(F96&lt;&gt;"",G96&lt;&gt;"",H96&lt;&gt;"",I96&lt;&gt;"",K96&lt;&gt;""),"Yes","No"))</f>
        <v/>
      </c>
      <c r="Q96" s="12"/>
      <c r="R96" s="13"/>
      <c r="S96" s="13"/>
      <c r="T96" s="13"/>
      <c r="U96" s="12"/>
      <c r="V96" s="14"/>
      <c r="W96" s="29" t="str">
        <f aca="false">IF(O96="Blocked",ROW(),"")</f>
        <v/>
      </c>
    </row>
    <row r="97" customFormat="false" ht="19.5" hidden="false" customHeight="true" outlineLevel="0" collapsed="false">
      <c r="A97" s="13"/>
      <c r="B97" s="13"/>
      <c r="C97" s="13"/>
      <c r="D97" s="28" t="str">
        <f aca="false">IF(C97="","",IFERROR(INDEX(Epics!$B$5:$B$24,MATCH(C97,Epics!$A$5:$A$24,0)),"Unknown epic"))</f>
        <v/>
      </c>
      <c r="E97" s="12"/>
      <c r="F97" s="12"/>
      <c r="G97" s="12"/>
      <c r="H97" s="12"/>
      <c r="I97" s="13"/>
      <c r="J97" s="13"/>
      <c r="K97" s="13"/>
      <c r="L97" s="29" t="str">
        <f aca="false">IF(OR(J97="",K97="",N(K97)=0),"",ROUND(J97/K97,2))</f>
        <v/>
      </c>
      <c r="M97" s="13"/>
      <c r="N97" s="13"/>
      <c r="O97" s="13"/>
      <c r="P97" s="30" t="str">
        <f aca="false">IF(A97="","",IF(AND(F97&lt;&gt;"",G97&lt;&gt;"",H97&lt;&gt;"",I97&lt;&gt;"",K97&lt;&gt;""),"Yes","No"))</f>
        <v/>
      </c>
      <c r="Q97" s="12"/>
      <c r="R97" s="13"/>
      <c r="S97" s="13"/>
      <c r="T97" s="13"/>
      <c r="U97" s="12"/>
      <c r="V97" s="14"/>
      <c r="W97" s="29" t="str">
        <f aca="false">IF(O97="Blocked",ROW(),"")</f>
        <v/>
      </c>
    </row>
    <row r="98" customFormat="false" ht="19.5" hidden="false" customHeight="true" outlineLevel="0" collapsed="false">
      <c r="A98" s="13"/>
      <c r="B98" s="13"/>
      <c r="C98" s="13"/>
      <c r="D98" s="28" t="str">
        <f aca="false">IF(C98="","",IFERROR(INDEX(Epics!$B$5:$B$24,MATCH(C98,Epics!$A$5:$A$24,0)),"Unknown epic"))</f>
        <v/>
      </c>
      <c r="E98" s="12"/>
      <c r="F98" s="12"/>
      <c r="G98" s="12"/>
      <c r="H98" s="12"/>
      <c r="I98" s="13"/>
      <c r="J98" s="13"/>
      <c r="K98" s="13"/>
      <c r="L98" s="29" t="str">
        <f aca="false">IF(OR(J98="",K98="",N(K98)=0),"",ROUND(J98/K98,2))</f>
        <v/>
      </c>
      <c r="M98" s="13"/>
      <c r="N98" s="13"/>
      <c r="O98" s="13"/>
      <c r="P98" s="30" t="str">
        <f aca="false">IF(A98="","",IF(AND(F98&lt;&gt;"",G98&lt;&gt;"",H98&lt;&gt;"",I98&lt;&gt;"",K98&lt;&gt;""),"Yes","No"))</f>
        <v/>
      </c>
      <c r="Q98" s="12"/>
      <c r="R98" s="13"/>
      <c r="S98" s="13"/>
      <c r="T98" s="13"/>
      <c r="U98" s="12"/>
      <c r="V98" s="14"/>
      <c r="W98" s="29" t="str">
        <f aca="false">IF(O98="Blocked",ROW(),"")</f>
        <v/>
      </c>
    </row>
    <row r="99" customFormat="false" ht="19.5" hidden="false" customHeight="true" outlineLevel="0" collapsed="false">
      <c r="A99" s="13"/>
      <c r="B99" s="13"/>
      <c r="C99" s="13"/>
      <c r="D99" s="28" t="str">
        <f aca="false">IF(C99="","",IFERROR(INDEX(Epics!$B$5:$B$24,MATCH(C99,Epics!$A$5:$A$24,0)),"Unknown epic"))</f>
        <v/>
      </c>
      <c r="E99" s="12"/>
      <c r="F99" s="12"/>
      <c r="G99" s="12"/>
      <c r="H99" s="12"/>
      <c r="I99" s="13"/>
      <c r="J99" s="13"/>
      <c r="K99" s="13"/>
      <c r="L99" s="29" t="str">
        <f aca="false">IF(OR(J99="",K99="",N(K99)=0),"",ROUND(J99/K99,2))</f>
        <v/>
      </c>
      <c r="M99" s="13"/>
      <c r="N99" s="13"/>
      <c r="O99" s="13"/>
      <c r="P99" s="30" t="str">
        <f aca="false">IF(A99="","",IF(AND(F99&lt;&gt;"",G99&lt;&gt;"",H99&lt;&gt;"",I99&lt;&gt;"",K99&lt;&gt;""),"Yes","No"))</f>
        <v/>
      </c>
      <c r="Q99" s="12"/>
      <c r="R99" s="13"/>
      <c r="S99" s="13"/>
      <c r="T99" s="13"/>
      <c r="U99" s="12"/>
      <c r="V99" s="14"/>
      <c r="W99" s="29" t="str">
        <f aca="false">IF(O99="Blocked",ROW(),"")</f>
        <v/>
      </c>
    </row>
    <row r="100" customFormat="false" ht="19.5" hidden="false" customHeight="true" outlineLevel="0" collapsed="false">
      <c r="A100" s="13"/>
      <c r="B100" s="13"/>
      <c r="C100" s="13"/>
      <c r="D100" s="28" t="str">
        <f aca="false">IF(C100="","",IFERROR(INDEX(Epics!$B$5:$B$24,MATCH(C100,Epics!$A$5:$A$24,0)),"Unknown epic"))</f>
        <v/>
      </c>
      <c r="E100" s="12"/>
      <c r="F100" s="12"/>
      <c r="G100" s="12"/>
      <c r="H100" s="12"/>
      <c r="I100" s="13"/>
      <c r="J100" s="13"/>
      <c r="K100" s="13"/>
      <c r="L100" s="29" t="str">
        <f aca="false">IF(OR(J100="",K100="",N(K100)=0),"",ROUND(J100/K100,2))</f>
        <v/>
      </c>
      <c r="M100" s="13"/>
      <c r="N100" s="13"/>
      <c r="O100" s="13"/>
      <c r="P100" s="30" t="str">
        <f aca="false">IF(A100="","",IF(AND(F100&lt;&gt;"",G100&lt;&gt;"",H100&lt;&gt;"",I100&lt;&gt;"",K100&lt;&gt;""),"Yes","No"))</f>
        <v/>
      </c>
      <c r="Q100" s="12"/>
      <c r="R100" s="13"/>
      <c r="S100" s="13"/>
      <c r="T100" s="13"/>
      <c r="U100" s="12"/>
      <c r="V100" s="14"/>
      <c r="W100" s="29" t="str">
        <f aca="false">IF(O100="Blocked",ROW(),"")</f>
        <v/>
      </c>
    </row>
    <row r="101" customFormat="false" ht="19.5" hidden="false" customHeight="true" outlineLevel="0" collapsed="false">
      <c r="A101" s="13"/>
      <c r="B101" s="13"/>
      <c r="C101" s="13"/>
      <c r="D101" s="28" t="str">
        <f aca="false">IF(C101="","",IFERROR(INDEX(Epics!$B$5:$B$24,MATCH(C101,Epics!$A$5:$A$24,0)),"Unknown epic"))</f>
        <v/>
      </c>
      <c r="E101" s="12"/>
      <c r="F101" s="12"/>
      <c r="G101" s="12"/>
      <c r="H101" s="12"/>
      <c r="I101" s="13"/>
      <c r="J101" s="13"/>
      <c r="K101" s="13"/>
      <c r="L101" s="29" t="str">
        <f aca="false">IF(OR(J101="",K101="",N(K101)=0),"",ROUND(J101/K101,2))</f>
        <v/>
      </c>
      <c r="M101" s="13"/>
      <c r="N101" s="13"/>
      <c r="O101" s="13"/>
      <c r="P101" s="30" t="str">
        <f aca="false">IF(A101="","",IF(AND(F101&lt;&gt;"",G101&lt;&gt;"",H101&lt;&gt;"",I101&lt;&gt;"",K101&lt;&gt;""),"Yes","No"))</f>
        <v/>
      </c>
      <c r="Q101" s="12"/>
      <c r="R101" s="13"/>
      <c r="S101" s="13"/>
      <c r="T101" s="13"/>
      <c r="U101" s="12"/>
      <c r="V101" s="14"/>
      <c r="W101" s="29" t="str">
        <f aca="false">IF(O101="Blocked",ROW(),"")</f>
        <v/>
      </c>
    </row>
    <row r="102" customFormat="false" ht="19.5" hidden="false" customHeight="true" outlineLevel="0" collapsed="false">
      <c r="A102" s="13"/>
      <c r="B102" s="13"/>
      <c r="C102" s="13"/>
      <c r="D102" s="28" t="str">
        <f aca="false">IF(C102="","",IFERROR(INDEX(Epics!$B$5:$B$24,MATCH(C102,Epics!$A$5:$A$24,0)),"Unknown epic"))</f>
        <v/>
      </c>
      <c r="E102" s="12"/>
      <c r="F102" s="12"/>
      <c r="G102" s="12"/>
      <c r="H102" s="12"/>
      <c r="I102" s="13"/>
      <c r="J102" s="13"/>
      <c r="K102" s="13"/>
      <c r="L102" s="29" t="str">
        <f aca="false">IF(OR(J102="",K102="",N(K102)=0),"",ROUND(J102/K102,2))</f>
        <v/>
      </c>
      <c r="M102" s="13"/>
      <c r="N102" s="13"/>
      <c r="O102" s="13"/>
      <c r="P102" s="30" t="str">
        <f aca="false">IF(A102="","",IF(AND(F102&lt;&gt;"",G102&lt;&gt;"",H102&lt;&gt;"",I102&lt;&gt;"",K102&lt;&gt;""),"Yes","No"))</f>
        <v/>
      </c>
      <c r="Q102" s="12"/>
      <c r="R102" s="13"/>
      <c r="S102" s="13"/>
      <c r="T102" s="13"/>
      <c r="U102" s="12"/>
      <c r="V102" s="14"/>
      <c r="W102" s="29" t="str">
        <f aca="false">IF(O102="Blocked",ROW(),"")</f>
        <v/>
      </c>
    </row>
    <row r="103" customFormat="false" ht="19.5" hidden="false" customHeight="true" outlineLevel="0" collapsed="false">
      <c r="A103" s="13"/>
      <c r="B103" s="13"/>
      <c r="C103" s="13"/>
      <c r="D103" s="28" t="str">
        <f aca="false">IF(C103="","",IFERROR(INDEX(Epics!$B$5:$B$24,MATCH(C103,Epics!$A$5:$A$24,0)),"Unknown epic"))</f>
        <v/>
      </c>
      <c r="E103" s="12"/>
      <c r="F103" s="12"/>
      <c r="G103" s="12"/>
      <c r="H103" s="12"/>
      <c r="I103" s="13"/>
      <c r="J103" s="13"/>
      <c r="K103" s="13"/>
      <c r="L103" s="29" t="str">
        <f aca="false">IF(OR(J103="",K103="",N(K103)=0),"",ROUND(J103/K103,2))</f>
        <v/>
      </c>
      <c r="M103" s="13"/>
      <c r="N103" s="13"/>
      <c r="O103" s="13"/>
      <c r="P103" s="30" t="str">
        <f aca="false">IF(A103="","",IF(AND(F103&lt;&gt;"",G103&lt;&gt;"",H103&lt;&gt;"",I103&lt;&gt;"",K103&lt;&gt;""),"Yes","No"))</f>
        <v/>
      </c>
      <c r="Q103" s="12"/>
      <c r="R103" s="13"/>
      <c r="S103" s="13"/>
      <c r="T103" s="13"/>
      <c r="U103" s="12"/>
      <c r="V103" s="14"/>
      <c r="W103" s="29" t="str">
        <f aca="false">IF(O103="Blocked",ROW(),"")</f>
        <v/>
      </c>
    </row>
    <row r="104" customFormat="false" ht="19.5" hidden="false" customHeight="true" outlineLevel="0" collapsed="false">
      <c r="A104" s="13"/>
      <c r="B104" s="13"/>
      <c r="C104" s="13"/>
      <c r="D104" s="28" t="str">
        <f aca="false">IF(C104="","",IFERROR(INDEX(Epics!$B$5:$B$24,MATCH(C104,Epics!$A$5:$A$24,0)),"Unknown epic"))</f>
        <v/>
      </c>
      <c r="E104" s="12"/>
      <c r="F104" s="12"/>
      <c r="G104" s="12"/>
      <c r="H104" s="12"/>
      <c r="I104" s="13"/>
      <c r="J104" s="13"/>
      <c r="K104" s="13"/>
      <c r="L104" s="29" t="str">
        <f aca="false">IF(OR(J104="",K104="",N(K104)=0),"",ROUND(J104/K104,2))</f>
        <v/>
      </c>
      <c r="M104" s="13"/>
      <c r="N104" s="13"/>
      <c r="O104" s="13"/>
      <c r="P104" s="30" t="str">
        <f aca="false">IF(A104="","",IF(AND(F104&lt;&gt;"",G104&lt;&gt;"",H104&lt;&gt;"",I104&lt;&gt;"",K104&lt;&gt;""),"Yes","No"))</f>
        <v/>
      </c>
      <c r="Q104" s="12"/>
      <c r="R104" s="13"/>
      <c r="S104" s="13"/>
      <c r="T104" s="13"/>
      <c r="U104" s="12"/>
      <c r="V104" s="14"/>
      <c r="W104" s="29" t="str">
        <f aca="false">IF(O104="Blocked",ROW(),"")</f>
        <v/>
      </c>
    </row>
  </sheetData>
  <autoFilter ref="A4:V104"/>
  <conditionalFormatting sqref="O5:O104">
    <cfRule type="cellIs" priority="2" operator="equal" aboveAverage="0" equalAverage="0" bottom="0" percent="0" rank="0" text="" dxfId="1">
      <formula>"Done"</formula>
    </cfRule>
    <cfRule type="cellIs" priority="3" operator="equal" aboveAverage="0" equalAverage="0" bottom="0" percent="0" rank="0" text="" dxfId="0">
      <formula>"In Progress"</formula>
    </cfRule>
    <cfRule type="cellIs" priority="4" operator="equal" aboveAverage="0" equalAverage="0" bottom="0" percent="0" rank="0" text="" dxfId="0">
      <formula>"In Review"</formula>
    </cfRule>
    <cfRule type="cellIs" priority="5" operator="equal" aboveAverage="0" equalAverage="0" bottom="0" percent="0" rank="0" text="" dxfId="19">
      <formula>"Ready"</formula>
    </cfRule>
    <cfRule type="cellIs" priority="6" operator="equal" aboveAverage="0" equalAverage="0" bottom="0" percent="0" rank="0" text="" dxfId="2">
      <formula>"Blocked"</formula>
    </cfRule>
    <cfRule type="cellIs" priority="7" operator="equal" aboveAverage="0" equalAverage="0" bottom="0" percent="0" rank="0" text="" dxfId="20">
      <formula>"Deferred"</formula>
    </cfRule>
    <cfRule type="cellIs" priority="8" operator="equal" aboveAverage="0" equalAverage="0" bottom="0" percent="0" rank="0" text="" dxfId="20">
      <formula>"Removed"</formula>
    </cfRule>
  </conditionalFormatting>
  <conditionalFormatting sqref="P5:P104">
    <cfRule type="cellIs" priority="9" operator="equal" aboveAverage="0" equalAverage="0" bottom="0" percent="0" rank="0" text="" dxfId="2">
      <formula>"No"</formula>
    </cfRule>
    <cfRule type="cellIs" priority="10" operator="equal" aboveAverage="0" equalAverage="0" bottom="0" percent="0" rank="0" text="" dxfId="1">
      <formula>"Yes"</formula>
    </cfRule>
  </conditionalFormatting>
  <conditionalFormatting sqref="I5:I104">
    <cfRule type="cellIs" priority="11" operator="equal" aboveAverage="0" equalAverage="0" bottom="0" percent="0" rank="0" text="" dxfId="2">
      <formula>"Must"</formula>
    </cfRule>
    <cfRule type="cellIs" priority="12" operator="equal" aboveAverage="0" equalAverage="0" bottom="0" percent="0" rank="0" text="" dxfId="0">
      <formula>"Should"</formula>
    </cfRule>
    <cfRule type="cellIs" priority="13" operator="equal" aboveAverage="0" equalAverage="0" bottom="0" percent="0" rank="0" text="" dxfId="1">
      <formula>"Could"</formula>
    </cfRule>
    <cfRule type="cellIs" priority="14" operator="equal" aboveAverage="0" equalAverage="0" bottom="0" percent="0" rank="0" text="" dxfId="20">
      <formula>"Won't (this release)"</formula>
    </cfRule>
  </conditionalFormatting>
  <conditionalFormatting sqref="D5:D104">
    <cfRule type="cellIs" priority="15" operator="equal" aboveAverage="0" equalAverage="0" bottom="0" percent="0" rank="0" text="" dxfId="2">
      <formula>"Unknown epic"</formula>
    </cfRule>
  </conditionalFormatting>
  <dataValidations count="10">
    <dataValidation allowBlank="true" errorStyle="stop" operator="between" showDropDown="false" showErrorMessage="false" showInputMessage="false" sqref="B5:B104" type="list">
      <formula1>"Story,Enabler,Spike"</formula1>
      <formula2>0</formula2>
    </dataValidation>
    <dataValidation allowBlank="true" errorStyle="stop" operator="between" showDropDown="false" showErrorMessage="false" showInputMessage="false" sqref="I5:I104" type="list">
      <formula1>"Must,Should,Could,Won't (this release)"</formula1>
      <formula2>0</formula2>
    </dataValidation>
    <dataValidation allowBlank="true" errorStyle="stop" operator="between" showDropDown="false" showErrorMessage="false" showInputMessage="false" sqref="J5:J104" type="list">
      <formula1>"1,2,3,4,5,6,7,8,9,10"</formula1>
      <formula2>0</formula2>
    </dataValidation>
    <dataValidation allowBlank="true" errorStyle="stop" operator="between" showDropDown="false" showErrorMessage="false" showInputMessage="false" sqref="K5:K104" type="list">
      <formula1>"1,2,3,5,8,13,21,34"</formula1>
      <formula2>0</formula2>
    </dataValidation>
    <dataValidation allowBlank="true" errorStyle="stop" operator="between" showDropDown="false" showErrorMessage="false" showInputMessage="false" sqref="M5:M104" type="list">
      <formula1>"MVP,Phase 2,TBD"</formula1>
      <formula2>0</formula2>
    </dataValidation>
    <dataValidation allowBlank="true" errorStyle="stop" operator="between" showDropDown="false" showErrorMessage="false" showInputMessage="false" sqref="N5:N104" type="list">
      <formula1>"Sprint 1,Sprint 2,Sprint 3,Sprint 4,Sprint 5,Sprint 6,Sprint 7,Sprint 8,Sprint 9,Sprint 10,Backlog,Phase 2"</formula1>
      <formula2>0</formula2>
    </dataValidation>
    <dataValidation allowBlank="true" errorStyle="stop" operator="between" showDropDown="false" showErrorMessage="false" showInputMessage="false" sqref="O5:O104" type="list">
      <formula1>"New,Refined,Ready,In Progress,In Review,Done,Blocked,Deferred,Removed"</formula1>
      <formula2>0</formula2>
    </dataValidation>
    <dataValidation allowBlank="true" errorStyle="stop" operator="between" showDropDown="false" showErrorMessage="false" showInputMessage="false" sqref="S5:S104" type="list">
      <formula1>"PCI DSS,Privacy,Security,Accessibility,Network Rules,None"</formula1>
      <formula2>0</formula2>
    </dataValidation>
    <dataValidation allowBlank="true" errorStyle="stop" operator="between" showDropDown="false" showErrorMessage="false" showInputMessage="false" sqref="T5:T104" type="list">
      <formula1>"Portal Squad,Integration Squad,Data Squad"</formula1>
      <formula2>0</formula2>
    </dataValidation>
    <dataValidation allowBlank="true" errorStyle="stop" operator="between" showDropDown="false" showErrorMessage="false" showInputMessage="false" sqref="C5:C104" type="list">
      <formula1>Epics!$A$5:$A$24</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4"/>
    <col collapsed="false" customWidth="true" hidden="false" outlineLevel="0" max="3" min="3" style="0" width="42"/>
    <col collapsed="false" customWidth="true" hidden="false" outlineLevel="0" max="4" min="4" style="0" width="34"/>
    <col collapsed="false" customWidth="true" hidden="false" outlineLevel="0" max="5" min="5" style="0" width="16"/>
    <col collapsed="false" customWidth="true" hidden="false" outlineLevel="0" max="6" min="6" style="0" width="10"/>
    <col collapsed="false" customWidth="true" hidden="false" outlineLevel="0" max="8" min="7" style="0" width="9"/>
    <col collapsed="false" customWidth="true" hidden="false" outlineLevel="0" max="11" min="9" style="0" width="10"/>
    <col collapsed="false" customWidth="true" hidden="false" outlineLevel="0" max="12" min="12" style="0" width="12"/>
    <col collapsed="false" customWidth="true" hidden="false" outlineLevel="0" max="13" min="13" style="0" width="18"/>
  </cols>
  <sheetData>
    <row r="1" customFormat="false" ht="19.7" hidden="false" customHeight="false" outlineLevel="0" collapsed="false">
      <c r="A1" s="24" t="s">
        <v>425</v>
      </c>
    </row>
    <row r="2" customFormat="false" ht="15" hidden="false" customHeight="false" outlineLevel="0" collapsed="false">
      <c r="A2" s="16" t="s">
        <v>426</v>
      </c>
    </row>
    <row r="3" customFormat="false" ht="15" hidden="false" customHeight="false" outlineLevel="0" collapsed="false">
      <c r="A3" s="25" t="s">
        <v>111</v>
      </c>
    </row>
    <row r="4" customFormat="false" ht="39.75" hidden="false" customHeight="true" outlineLevel="0" collapsed="false">
      <c r="A4" s="26" t="s">
        <v>85</v>
      </c>
      <c r="B4" s="26" t="s">
        <v>113</v>
      </c>
      <c r="C4" s="26" t="s">
        <v>427</v>
      </c>
      <c r="D4" s="26" t="s">
        <v>428</v>
      </c>
      <c r="E4" s="26" t="s">
        <v>429</v>
      </c>
      <c r="F4" s="26" t="s">
        <v>430</v>
      </c>
      <c r="G4" s="27" t="s">
        <v>431</v>
      </c>
      <c r="H4" s="27" t="s">
        <v>432</v>
      </c>
      <c r="I4" s="27" t="s">
        <v>433</v>
      </c>
      <c r="J4" s="27" t="s">
        <v>434</v>
      </c>
      <c r="K4" s="27" t="s">
        <v>435</v>
      </c>
      <c r="L4" s="26" t="s">
        <v>436</v>
      </c>
      <c r="M4" s="26" t="s">
        <v>122</v>
      </c>
    </row>
    <row r="5" customFormat="false" ht="45" hidden="false" customHeight="true" outlineLevel="0" collapsed="false">
      <c r="A5" s="13" t="s">
        <v>129</v>
      </c>
      <c r="B5" s="12" t="s">
        <v>437</v>
      </c>
      <c r="C5" s="12" t="s">
        <v>438</v>
      </c>
      <c r="D5" s="12" t="s">
        <v>439</v>
      </c>
      <c r="E5" s="12" t="s">
        <v>349</v>
      </c>
      <c r="F5" s="13" t="s">
        <v>134</v>
      </c>
      <c r="G5" s="29" t="n">
        <f aca="false">IF(A5="","",COUNTIFS('Product Backlog'!$C$5:$C$104,A5,'Product Backlog'!$M$5:$M$104,"MVP"))</f>
        <v>5</v>
      </c>
      <c r="H5" s="29" t="n">
        <f aca="false">IF(A5="","",SUMIFS('Product Backlog'!$K$5:$K$104,'Product Backlog'!$C$5:$C$104,A5,'Product Backlog'!$M$5:$M$104,"MVP"))</f>
        <v>28</v>
      </c>
      <c r="I5" s="29" t="n">
        <f aca="false">IF(A5="","",SUMIFS('Product Backlog'!$K$5:$K$104,'Product Backlog'!$C$5:$C$104,A5,'Product Backlog'!$M$5:$M$104,"MVP",'Product Backlog'!$O$5:$O$104,"Done"))</f>
        <v>5</v>
      </c>
      <c r="J5" s="31" t="n">
        <f aca="false">IF(OR(A5="",N(H5)=0),"",I5/H5)</f>
        <v>0.178571428571429</v>
      </c>
      <c r="K5" s="29" t="n">
        <f aca="false">IF(A5="","",COUNTIFS('Product Backlog'!$C$5:$C$104,A5)-G5)</f>
        <v>1</v>
      </c>
      <c r="L5" s="13" t="s">
        <v>204</v>
      </c>
      <c r="M5" s="12" t="s">
        <v>440</v>
      </c>
    </row>
    <row r="6" customFormat="false" ht="31.5" hidden="false" customHeight="true" outlineLevel="0" collapsed="false">
      <c r="A6" s="13" t="s">
        <v>172</v>
      </c>
      <c r="B6" s="12" t="s">
        <v>441</v>
      </c>
      <c r="C6" s="12" t="s">
        <v>442</v>
      </c>
      <c r="D6" s="12" t="s">
        <v>443</v>
      </c>
      <c r="E6" s="12" t="s">
        <v>270</v>
      </c>
      <c r="F6" s="13" t="s">
        <v>134</v>
      </c>
      <c r="G6" s="29" t="n">
        <f aca="false">IF(A6="","",COUNTIFS('Product Backlog'!$C$5:$C$104,A6,'Product Backlog'!$M$5:$M$104,"MVP"))</f>
        <v>6</v>
      </c>
      <c r="H6" s="29" t="n">
        <f aca="false">IF(A6="","",SUMIFS('Product Backlog'!$K$5:$K$104,'Product Backlog'!$C$5:$C$104,A6,'Product Backlog'!$M$5:$M$104,"MVP"))</f>
        <v>32</v>
      </c>
      <c r="I6" s="29" t="n">
        <f aca="false">IF(A6="","",SUMIFS('Product Backlog'!$K$5:$K$104,'Product Backlog'!$C$5:$C$104,A6,'Product Backlog'!$M$5:$M$104,"MVP",'Product Backlog'!$O$5:$O$104,"Done"))</f>
        <v>27</v>
      </c>
      <c r="J6" s="31" t="n">
        <f aca="false">IF(OR(A6="",N(H6)=0),"",I6/H6)</f>
        <v>0.84375</v>
      </c>
      <c r="K6" s="29" t="n">
        <f aca="false">IF(A6="","",COUNTIFS('Product Backlog'!$C$5:$C$104,A6)-G6)</f>
        <v>0</v>
      </c>
      <c r="L6" s="13" t="s">
        <v>204</v>
      </c>
      <c r="M6" s="12" t="s">
        <v>206</v>
      </c>
    </row>
    <row r="7" customFormat="false" ht="45" hidden="false" customHeight="true" outlineLevel="0" collapsed="false">
      <c r="A7" s="13" t="s">
        <v>208</v>
      </c>
      <c r="B7" s="12" t="s">
        <v>444</v>
      </c>
      <c r="C7" s="12" t="s">
        <v>445</v>
      </c>
      <c r="D7" s="12" t="s">
        <v>446</v>
      </c>
      <c r="E7" s="12" t="s">
        <v>270</v>
      </c>
      <c r="F7" s="13" t="s">
        <v>134</v>
      </c>
      <c r="G7" s="29" t="n">
        <f aca="false">IF(A7="","",COUNTIFS('Product Backlog'!$C$5:$C$104,A7,'Product Backlog'!$M$5:$M$104,"MVP"))</f>
        <v>6</v>
      </c>
      <c r="H7" s="29" t="n">
        <f aca="false">IF(A7="","",SUMIFS('Product Backlog'!$K$5:$K$104,'Product Backlog'!$C$5:$C$104,A7,'Product Backlog'!$M$5:$M$104,"MVP"))</f>
        <v>45</v>
      </c>
      <c r="I7" s="29" t="n">
        <f aca="false">IF(A7="","",SUMIFS('Product Backlog'!$K$5:$K$104,'Product Backlog'!$C$5:$C$104,A7,'Product Backlog'!$M$5:$M$104,"MVP",'Product Backlog'!$O$5:$O$104,"Done"))</f>
        <v>5</v>
      </c>
      <c r="J7" s="31" t="n">
        <f aca="false">IF(OR(A7="",N(H7)=0),"",I7/H7)</f>
        <v>0.111111111111111</v>
      </c>
      <c r="K7" s="29" t="n">
        <f aca="false">IF(A7="","",COUNTIFS('Product Backlog'!$C$5:$C$104,A7)-G7)</f>
        <v>0</v>
      </c>
      <c r="L7" s="13" t="s">
        <v>204</v>
      </c>
      <c r="M7" s="12" t="s">
        <v>447</v>
      </c>
    </row>
    <row r="8" customFormat="false" ht="45" hidden="false" customHeight="true" outlineLevel="0" collapsed="false">
      <c r="A8" s="13" t="s">
        <v>247</v>
      </c>
      <c r="B8" s="12" t="s">
        <v>448</v>
      </c>
      <c r="C8" s="12" t="s">
        <v>449</v>
      </c>
      <c r="D8" s="12" t="s">
        <v>450</v>
      </c>
      <c r="E8" s="12" t="s">
        <v>451</v>
      </c>
      <c r="F8" s="13" t="s">
        <v>134</v>
      </c>
      <c r="G8" s="29" t="n">
        <f aca="false">IF(A8="","",COUNTIFS('Product Backlog'!$C$5:$C$104,A8,'Product Backlog'!$M$5:$M$104,"MVP"))</f>
        <v>7</v>
      </c>
      <c r="H8" s="29" t="n">
        <f aca="false">IF(A8="","",SUMIFS('Product Backlog'!$K$5:$K$104,'Product Backlog'!$C$5:$C$104,A8,'Product Backlog'!$M$5:$M$104,"MVP"))</f>
        <v>47</v>
      </c>
      <c r="I8" s="29" t="n">
        <f aca="false">IF(A8="","",SUMIFS('Product Backlog'!$K$5:$K$104,'Product Backlog'!$C$5:$C$104,A8,'Product Backlog'!$M$5:$M$104,"MVP",'Product Backlog'!$O$5:$O$104,"Done"))</f>
        <v>16</v>
      </c>
      <c r="J8" s="31" t="n">
        <f aca="false">IF(OR(A8="",N(H8)=0),"",I8/H8)</f>
        <v>0.340425531914894</v>
      </c>
      <c r="K8" s="29" t="n">
        <f aca="false">IF(A8="","",COUNTIFS('Product Backlog'!$C$5:$C$104,A8)-G8)</f>
        <v>1</v>
      </c>
      <c r="L8" s="13" t="s">
        <v>204</v>
      </c>
      <c r="M8" s="12" t="s">
        <v>452</v>
      </c>
    </row>
    <row r="9" customFormat="false" ht="31.5" hidden="false" customHeight="true" outlineLevel="0" collapsed="false">
      <c r="A9" s="13" t="s">
        <v>290</v>
      </c>
      <c r="B9" s="12" t="s">
        <v>453</v>
      </c>
      <c r="C9" s="12" t="s">
        <v>454</v>
      </c>
      <c r="D9" s="12" t="s">
        <v>455</v>
      </c>
      <c r="E9" s="12" t="s">
        <v>349</v>
      </c>
      <c r="F9" s="13" t="s">
        <v>134</v>
      </c>
      <c r="G9" s="29" t="n">
        <f aca="false">IF(A9="","",COUNTIFS('Product Backlog'!$C$5:$C$104,A9,'Product Backlog'!$M$5:$M$104,"MVP"))</f>
        <v>2</v>
      </c>
      <c r="H9" s="29" t="n">
        <f aca="false">IF(A9="","",SUMIFS('Product Backlog'!$K$5:$K$104,'Product Backlog'!$C$5:$C$104,A9,'Product Backlog'!$M$5:$M$104,"MVP"))</f>
        <v>10</v>
      </c>
      <c r="I9" s="29" t="n">
        <f aca="false">IF(A9="","",SUMIFS('Product Backlog'!$K$5:$K$104,'Product Backlog'!$C$5:$C$104,A9,'Product Backlog'!$M$5:$M$104,"MVP",'Product Backlog'!$O$5:$O$104,"Done"))</f>
        <v>0</v>
      </c>
      <c r="J9" s="31" t="n">
        <f aca="false">IF(OR(A9="",N(H9)=0),"",I9/H9)</f>
        <v>0</v>
      </c>
      <c r="K9" s="29" t="n">
        <f aca="false">IF(A9="","",COUNTIFS('Product Backlog'!$C$5:$C$104,A9)-G9)</f>
        <v>1</v>
      </c>
      <c r="L9" s="13" t="s">
        <v>456</v>
      </c>
      <c r="M9" s="12" t="s">
        <v>457</v>
      </c>
    </row>
    <row r="10" customFormat="false" ht="31.5" hidden="false" customHeight="true" outlineLevel="0" collapsed="false">
      <c r="A10" s="13" t="s">
        <v>310</v>
      </c>
      <c r="B10" s="12" t="s">
        <v>458</v>
      </c>
      <c r="C10" s="12" t="s">
        <v>459</v>
      </c>
      <c r="D10" s="12" t="s">
        <v>460</v>
      </c>
      <c r="E10" s="12" t="s">
        <v>461</v>
      </c>
      <c r="F10" s="13" t="s">
        <v>134</v>
      </c>
      <c r="G10" s="29" t="n">
        <f aca="false">IF(A10="","",COUNTIFS('Product Backlog'!$C$5:$C$104,A10,'Product Backlog'!$M$5:$M$104,"MVP"))</f>
        <v>3</v>
      </c>
      <c r="H10" s="29" t="n">
        <f aca="false">IF(A10="","",SUMIFS('Product Backlog'!$K$5:$K$104,'Product Backlog'!$C$5:$C$104,A10,'Product Backlog'!$M$5:$M$104,"MVP"))</f>
        <v>19</v>
      </c>
      <c r="I10" s="29" t="n">
        <f aca="false">IF(A10="","",SUMIFS('Product Backlog'!$K$5:$K$104,'Product Backlog'!$C$5:$C$104,A10,'Product Backlog'!$M$5:$M$104,"MVP",'Product Backlog'!$O$5:$O$104,"Done"))</f>
        <v>0</v>
      </c>
      <c r="J10" s="31" t="n">
        <f aca="false">IF(OR(A10="",N(H10)=0),"",I10/H10)</f>
        <v>0</v>
      </c>
      <c r="K10" s="29" t="n">
        <f aca="false">IF(A10="","",COUNTIFS('Product Backlog'!$C$5:$C$104,A10)-G10)</f>
        <v>0</v>
      </c>
      <c r="L10" s="13" t="s">
        <v>456</v>
      </c>
      <c r="M10" s="12" t="s">
        <v>315</v>
      </c>
    </row>
    <row r="11" customFormat="false" ht="45" hidden="false" customHeight="true" outlineLevel="0" collapsed="false">
      <c r="A11" s="13" t="s">
        <v>329</v>
      </c>
      <c r="B11" s="12" t="s">
        <v>462</v>
      </c>
      <c r="C11" s="12" t="s">
        <v>463</v>
      </c>
      <c r="D11" s="12" t="s">
        <v>464</v>
      </c>
      <c r="E11" s="12" t="s">
        <v>461</v>
      </c>
      <c r="F11" s="13" t="s">
        <v>134</v>
      </c>
      <c r="G11" s="29" t="n">
        <f aca="false">IF(A11="","",COUNTIFS('Product Backlog'!$C$5:$C$104,A11,'Product Backlog'!$M$5:$M$104,"MVP"))</f>
        <v>4</v>
      </c>
      <c r="H11" s="29" t="n">
        <f aca="false">IF(A11="","",SUMIFS('Product Backlog'!$K$5:$K$104,'Product Backlog'!$C$5:$C$104,A11,'Product Backlog'!$M$5:$M$104,"MVP"))</f>
        <v>23</v>
      </c>
      <c r="I11" s="29" t="n">
        <f aca="false">IF(A11="","",SUMIFS('Product Backlog'!$K$5:$K$104,'Product Backlog'!$C$5:$C$104,A11,'Product Backlog'!$M$5:$M$104,"MVP",'Product Backlog'!$O$5:$O$104,"Done"))</f>
        <v>0</v>
      </c>
      <c r="J11" s="31" t="n">
        <f aca="false">IF(OR(A11="",N(H11)=0),"",I11/H11)</f>
        <v>0</v>
      </c>
      <c r="K11" s="29" t="n">
        <f aca="false">IF(A11="","",COUNTIFS('Product Backlog'!$C$5:$C$104,A11)-G11)</f>
        <v>0</v>
      </c>
      <c r="L11" s="13" t="s">
        <v>456</v>
      </c>
      <c r="M11" s="12" t="s">
        <v>465</v>
      </c>
    </row>
    <row r="12" customFormat="false" ht="31.5" hidden="false" customHeight="true" outlineLevel="0" collapsed="false">
      <c r="A12" s="13" t="s">
        <v>353</v>
      </c>
      <c r="B12" s="12" t="s">
        <v>466</v>
      </c>
      <c r="C12" s="12" t="s">
        <v>467</v>
      </c>
      <c r="D12" s="12" t="s">
        <v>468</v>
      </c>
      <c r="E12" s="12" t="s">
        <v>270</v>
      </c>
      <c r="F12" s="13" t="s">
        <v>134</v>
      </c>
      <c r="G12" s="29" t="n">
        <f aca="false">IF(A12="","",COUNTIFS('Product Backlog'!$C$5:$C$104,A12,'Product Backlog'!$M$5:$M$104,"MVP"))</f>
        <v>1</v>
      </c>
      <c r="H12" s="29" t="n">
        <f aca="false">IF(A12="","",SUMIFS('Product Backlog'!$K$5:$K$104,'Product Backlog'!$C$5:$C$104,A12,'Product Backlog'!$M$5:$M$104,"MVP"))</f>
        <v>8</v>
      </c>
      <c r="I12" s="29" t="n">
        <f aca="false">IF(A12="","",SUMIFS('Product Backlog'!$K$5:$K$104,'Product Backlog'!$C$5:$C$104,A12,'Product Backlog'!$M$5:$M$104,"MVP",'Product Backlog'!$O$5:$O$104,"Done"))</f>
        <v>8</v>
      </c>
      <c r="J12" s="31" t="n">
        <f aca="false">IF(OR(A12="",N(H12)=0),"",I12/H12)</f>
        <v>1</v>
      </c>
      <c r="K12" s="29" t="n">
        <f aca="false">IF(A12="","",COUNTIFS('Product Backlog'!$C$5:$C$104,A12)-G12)</f>
        <v>2</v>
      </c>
      <c r="L12" s="13" t="s">
        <v>204</v>
      </c>
      <c r="M12" s="12" t="s">
        <v>362</v>
      </c>
    </row>
    <row r="13" customFormat="false" ht="31.5" hidden="false" customHeight="true" outlineLevel="0" collapsed="false">
      <c r="A13" s="13" t="s">
        <v>365</v>
      </c>
      <c r="B13" s="12" t="s">
        <v>469</v>
      </c>
      <c r="C13" s="12" t="s">
        <v>470</v>
      </c>
      <c r="D13" s="12" t="s">
        <v>471</v>
      </c>
      <c r="E13" s="12" t="s">
        <v>451</v>
      </c>
      <c r="F13" s="13" t="s">
        <v>134</v>
      </c>
      <c r="G13" s="29" t="n">
        <f aca="false">IF(A13="","",COUNTIFS('Product Backlog'!$C$5:$C$104,A13,'Product Backlog'!$M$5:$M$104,"MVP"))</f>
        <v>8</v>
      </c>
      <c r="H13" s="29" t="n">
        <f aca="false">IF(A13="","",SUMIFS('Product Backlog'!$K$5:$K$104,'Product Backlog'!$C$5:$C$104,A13,'Product Backlog'!$M$5:$M$104,"MVP"))</f>
        <v>40</v>
      </c>
      <c r="I13" s="29" t="n">
        <f aca="false">IF(A13="","",SUMIFS('Product Backlog'!$K$5:$K$104,'Product Backlog'!$C$5:$C$104,A13,'Product Backlog'!$M$5:$M$104,"MVP",'Product Backlog'!$O$5:$O$104,"Done"))</f>
        <v>19</v>
      </c>
      <c r="J13" s="31" t="n">
        <f aca="false">IF(OR(A13="",N(H13)=0),"",I13/H13)</f>
        <v>0.475</v>
      </c>
      <c r="K13" s="29" t="n">
        <f aca="false">IF(A13="","",COUNTIFS('Product Backlog'!$C$5:$C$104,A13)-G13)</f>
        <v>0</v>
      </c>
      <c r="L13" s="13" t="s">
        <v>204</v>
      </c>
      <c r="M13" s="12" t="s">
        <v>472</v>
      </c>
    </row>
    <row r="14" customFormat="false" ht="19.5" hidden="false" customHeight="true" outlineLevel="0" collapsed="false">
      <c r="A14" s="13"/>
      <c r="B14" s="11" t="s">
        <v>473</v>
      </c>
      <c r="C14" s="12"/>
      <c r="D14" s="12"/>
      <c r="E14" s="12"/>
      <c r="F14" s="13"/>
      <c r="G14" s="32" t="n">
        <f aca="false">SUM(G5:G13)</f>
        <v>42</v>
      </c>
      <c r="H14" s="32" t="n">
        <f aca="false">SUM(H5:H13)</f>
        <v>252</v>
      </c>
      <c r="I14" s="32" t="n">
        <f aca="false">SUM(I5:I13)</f>
        <v>80</v>
      </c>
      <c r="J14" s="33" t="n">
        <f aca="false">IF(N(H14)=0,"",I14/H14)</f>
        <v>0.317460317460317</v>
      </c>
      <c r="K14" s="32" t="n">
        <f aca="false">SUM(K5:K13)</f>
        <v>5</v>
      </c>
      <c r="L14" s="13"/>
      <c r="M14" s="12"/>
    </row>
    <row r="15" customFormat="false" ht="19.5" hidden="false" customHeight="true" outlineLevel="0" collapsed="false">
      <c r="A15" s="13"/>
      <c r="B15" s="12"/>
      <c r="C15" s="12"/>
      <c r="D15" s="12"/>
      <c r="E15" s="12"/>
      <c r="F15" s="13"/>
      <c r="G15" s="29" t="str">
        <f aca="false">IF(A15="","",COUNTIFS('Product Backlog'!$C$5:$C$104,A15,'Product Backlog'!$M$5:$M$104,"MVP"))</f>
        <v/>
      </c>
      <c r="H15" s="29" t="str">
        <f aca="false">IF(A15="","",SUMIFS('Product Backlog'!$K$5:$K$104,'Product Backlog'!$C$5:$C$104,A15,'Product Backlog'!$M$5:$M$104,"MVP"))</f>
        <v/>
      </c>
      <c r="I15" s="29" t="str">
        <f aca="false">IF(A15="","",SUMIFS('Product Backlog'!$K$5:$K$104,'Product Backlog'!$C$5:$C$104,A15,'Product Backlog'!$M$5:$M$104,"MVP",'Product Backlog'!$O$5:$O$104,"Done"))</f>
        <v/>
      </c>
      <c r="J15" s="31" t="str">
        <f aca="false">IF(OR(A15="",N(H15)=0),"",I15/H15)</f>
        <v/>
      </c>
      <c r="K15" s="29" t="str">
        <f aca="false">IF(A15="","",COUNTIFS('Product Backlog'!$C$5:$C$104,A15)-G15)</f>
        <v/>
      </c>
      <c r="L15" s="13"/>
      <c r="M15" s="12"/>
    </row>
    <row r="16" customFormat="false" ht="19.5" hidden="false" customHeight="true" outlineLevel="0" collapsed="false">
      <c r="A16" s="13"/>
      <c r="B16" s="12"/>
      <c r="C16" s="12"/>
      <c r="D16" s="12"/>
      <c r="E16" s="12"/>
      <c r="F16" s="13"/>
      <c r="G16" s="29" t="str">
        <f aca="false">IF(A16="","",COUNTIFS('Product Backlog'!$C$5:$C$104,A16,'Product Backlog'!$M$5:$M$104,"MVP"))</f>
        <v/>
      </c>
      <c r="H16" s="29" t="str">
        <f aca="false">IF(A16="","",SUMIFS('Product Backlog'!$K$5:$K$104,'Product Backlog'!$C$5:$C$104,A16,'Product Backlog'!$M$5:$M$104,"MVP"))</f>
        <v/>
      </c>
      <c r="I16" s="29" t="str">
        <f aca="false">IF(A16="","",SUMIFS('Product Backlog'!$K$5:$K$104,'Product Backlog'!$C$5:$C$104,A16,'Product Backlog'!$M$5:$M$104,"MVP",'Product Backlog'!$O$5:$O$104,"Done"))</f>
        <v/>
      </c>
      <c r="J16" s="31" t="str">
        <f aca="false">IF(OR(A16="",N(H16)=0),"",I16/H16)</f>
        <v/>
      </c>
      <c r="K16" s="29" t="str">
        <f aca="false">IF(A16="","",COUNTIFS('Product Backlog'!$C$5:$C$104,A16)-G16)</f>
        <v/>
      </c>
      <c r="L16" s="13"/>
      <c r="M16" s="12"/>
    </row>
    <row r="17" customFormat="false" ht="19.5" hidden="false" customHeight="true" outlineLevel="0" collapsed="false">
      <c r="A17" s="13"/>
      <c r="B17" s="12"/>
      <c r="C17" s="12"/>
      <c r="D17" s="12"/>
      <c r="E17" s="12"/>
      <c r="F17" s="13"/>
      <c r="G17" s="29" t="str">
        <f aca="false">IF(A17="","",COUNTIFS('Product Backlog'!$C$5:$C$104,A17,'Product Backlog'!$M$5:$M$104,"MVP"))</f>
        <v/>
      </c>
      <c r="H17" s="29" t="str">
        <f aca="false">IF(A17="","",SUMIFS('Product Backlog'!$K$5:$K$104,'Product Backlog'!$C$5:$C$104,A17,'Product Backlog'!$M$5:$M$104,"MVP"))</f>
        <v/>
      </c>
      <c r="I17" s="29" t="str">
        <f aca="false">IF(A17="","",SUMIFS('Product Backlog'!$K$5:$K$104,'Product Backlog'!$C$5:$C$104,A17,'Product Backlog'!$M$5:$M$104,"MVP",'Product Backlog'!$O$5:$O$104,"Done"))</f>
        <v/>
      </c>
      <c r="J17" s="31" t="str">
        <f aca="false">IF(OR(A17="",N(H17)=0),"",I17/H17)</f>
        <v/>
      </c>
      <c r="K17" s="29" t="str">
        <f aca="false">IF(A17="","",COUNTIFS('Product Backlog'!$C$5:$C$104,A17)-G17)</f>
        <v/>
      </c>
      <c r="L17" s="13"/>
      <c r="M17" s="12"/>
    </row>
    <row r="18" customFormat="false" ht="19.5" hidden="false" customHeight="true" outlineLevel="0" collapsed="false">
      <c r="A18" s="13"/>
      <c r="B18" s="12"/>
      <c r="C18" s="12"/>
      <c r="D18" s="12"/>
      <c r="E18" s="12"/>
      <c r="F18" s="13"/>
      <c r="G18" s="29" t="str">
        <f aca="false">IF(A18="","",COUNTIFS('Product Backlog'!$C$5:$C$104,A18,'Product Backlog'!$M$5:$M$104,"MVP"))</f>
        <v/>
      </c>
      <c r="H18" s="29" t="str">
        <f aca="false">IF(A18="","",SUMIFS('Product Backlog'!$K$5:$K$104,'Product Backlog'!$C$5:$C$104,A18,'Product Backlog'!$M$5:$M$104,"MVP"))</f>
        <v/>
      </c>
      <c r="I18" s="29" t="str">
        <f aca="false">IF(A18="","",SUMIFS('Product Backlog'!$K$5:$K$104,'Product Backlog'!$C$5:$C$104,A18,'Product Backlog'!$M$5:$M$104,"MVP",'Product Backlog'!$O$5:$O$104,"Done"))</f>
        <v/>
      </c>
      <c r="J18" s="31" t="str">
        <f aca="false">IF(OR(A18="",N(H18)=0),"",I18/H18)</f>
        <v/>
      </c>
      <c r="K18" s="29" t="str">
        <f aca="false">IF(A18="","",COUNTIFS('Product Backlog'!$C$5:$C$104,A18)-G18)</f>
        <v/>
      </c>
      <c r="L18" s="13"/>
      <c r="M18" s="12"/>
    </row>
    <row r="19" customFormat="false" ht="19.5" hidden="false" customHeight="true" outlineLevel="0" collapsed="false">
      <c r="A19" s="13"/>
      <c r="B19" s="12"/>
      <c r="C19" s="12"/>
      <c r="D19" s="12"/>
      <c r="E19" s="12"/>
      <c r="F19" s="13"/>
      <c r="G19" s="29" t="str">
        <f aca="false">IF(A19="","",COUNTIFS('Product Backlog'!$C$5:$C$104,A19,'Product Backlog'!$M$5:$M$104,"MVP"))</f>
        <v/>
      </c>
      <c r="H19" s="29" t="str">
        <f aca="false">IF(A19="","",SUMIFS('Product Backlog'!$K$5:$K$104,'Product Backlog'!$C$5:$C$104,A19,'Product Backlog'!$M$5:$M$104,"MVP"))</f>
        <v/>
      </c>
      <c r="I19" s="29" t="str">
        <f aca="false">IF(A19="","",SUMIFS('Product Backlog'!$K$5:$K$104,'Product Backlog'!$C$5:$C$104,A19,'Product Backlog'!$M$5:$M$104,"MVP",'Product Backlog'!$O$5:$O$104,"Done"))</f>
        <v/>
      </c>
      <c r="J19" s="31" t="str">
        <f aca="false">IF(OR(A19="",N(H19)=0),"",I19/H19)</f>
        <v/>
      </c>
      <c r="K19" s="29" t="str">
        <f aca="false">IF(A19="","",COUNTIFS('Product Backlog'!$C$5:$C$104,A19)-G19)</f>
        <v/>
      </c>
      <c r="L19" s="13"/>
      <c r="M19" s="12"/>
    </row>
    <row r="20" customFormat="false" ht="19.5" hidden="false" customHeight="true" outlineLevel="0" collapsed="false">
      <c r="A20" s="13"/>
      <c r="B20" s="12"/>
      <c r="C20" s="12"/>
      <c r="D20" s="12"/>
      <c r="E20" s="12"/>
      <c r="F20" s="13"/>
      <c r="G20" s="29" t="str">
        <f aca="false">IF(A20="","",COUNTIFS('Product Backlog'!$C$5:$C$104,A20,'Product Backlog'!$M$5:$M$104,"MVP"))</f>
        <v/>
      </c>
      <c r="H20" s="29" t="str">
        <f aca="false">IF(A20="","",SUMIFS('Product Backlog'!$K$5:$K$104,'Product Backlog'!$C$5:$C$104,A20,'Product Backlog'!$M$5:$M$104,"MVP"))</f>
        <v/>
      </c>
      <c r="I20" s="29" t="str">
        <f aca="false">IF(A20="","",SUMIFS('Product Backlog'!$K$5:$K$104,'Product Backlog'!$C$5:$C$104,A20,'Product Backlog'!$M$5:$M$104,"MVP",'Product Backlog'!$O$5:$O$104,"Done"))</f>
        <v/>
      </c>
      <c r="J20" s="31" t="str">
        <f aca="false">IF(OR(A20="",N(H20)=0),"",I20/H20)</f>
        <v/>
      </c>
      <c r="K20" s="29" t="str">
        <f aca="false">IF(A20="","",COUNTIFS('Product Backlog'!$C$5:$C$104,A20)-G20)</f>
        <v/>
      </c>
      <c r="L20" s="13"/>
      <c r="M20" s="12"/>
    </row>
    <row r="21" customFormat="false" ht="19.5" hidden="false" customHeight="true" outlineLevel="0" collapsed="false">
      <c r="A21" s="13"/>
      <c r="B21" s="12"/>
      <c r="C21" s="12"/>
      <c r="D21" s="12"/>
      <c r="E21" s="12"/>
      <c r="F21" s="13"/>
      <c r="G21" s="29" t="str">
        <f aca="false">IF(A21="","",COUNTIFS('Product Backlog'!$C$5:$C$104,A21,'Product Backlog'!$M$5:$M$104,"MVP"))</f>
        <v/>
      </c>
      <c r="H21" s="29" t="str">
        <f aca="false">IF(A21="","",SUMIFS('Product Backlog'!$K$5:$K$104,'Product Backlog'!$C$5:$C$104,A21,'Product Backlog'!$M$5:$M$104,"MVP"))</f>
        <v/>
      </c>
      <c r="I21" s="29" t="str">
        <f aca="false">IF(A21="","",SUMIFS('Product Backlog'!$K$5:$K$104,'Product Backlog'!$C$5:$C$104,A21,'Product Backlog'!$M$5:$M$104,"MVP",'Product Backlog'!$O$5:$O$104,"Done"))</f>
        <v/>
      </c>
      <c r="J21" s="31" t="str">
        <f aca="false">IF(OR(A21="",N(H21)=0),"",I21/H21)</f>
        <v/>
      </c>
      <c r="K21" s="29" t="str">
        <f aca="false">IF(A21="","",COUNTIFS('Product Backlog'!$C$5:$C$104,A21)-G21)</f>
        <v/>
      </c>
      <c r="L21" s="13"/>
      <c r="M21" s="12"/>
    </row>
    <row r="22" customFormat="false" ht="19.5" hidden="false" customHeight="true" outlineLevel="0" collapsed="false">
      <c r="A22" s="13"/>
      <c r="B22" s="12"/>
      <c r="C22" s="12"/>
      <c r="D22" s="12"/>
      <c r="E22" s="12"/>
      <c r="F22" s="13"/>
      <c r="G22" s="29" t="str">
        <f aca="false">IF(A22="","",COUNTIFS('Product Backlog'!$C$5:$C$104,A22,'Product Backlog'!$M$5:$M$104,"MVP"))</f>
        <v/>
      </c>
      <c r="H22" s="29" t="str">
        <f aca="false">IF(A22="","",SUMIFS('Product Backlog'!$K$5:$K$104,'Product Backlog'!$C$5:$C$104,A22,'Product Backlog'!$M$5:$M$104,"MVP"))</f>
        <v/>
      </c>
      <c r="I22" s="29" t="str">
        <f aca="false">IF(A22="","",SUMIFS('Product Backlog'!$K$5:$K$104,'Product Backlog'!$C$5:$C$104,A22,'Product Backlog'!$M$5:$M$104,"MVP",'Product Backlog'!$O$5:$O$104,"Done"))</f>
        <v/>
      </c>
      <c r="J22" s="31" t="str">
        <f aca="false">IF(OR(A22="",N(H22)=0),"",I22/H22)</f>
        <v/>
      </c>
      <c r="K22" s="29" t="str">
        <f aca="false">IF(A22="","",COUNTIFS('Product Backlog'!$C$5:$C$104,A22)-G22)</f>
        <v/>
      </c>
      <c r="L22" s="13"/>
      <c r="M22" s="12"/>
    </row>
    <row r="23" customFormat="false" ht="19.5" hidden="false" customHeight="true" outlineLevel="0" collapsed="false">
      <c r="A23" s="13"/>
      <c r="B23" s="12"/>
      <c r="C23" s="12"/>
      <c r="D23" s="12"/>
      <c r="E23" s="12"/>
      <c r="F23" s="13"/>
      <c r="G23" s="29" t="str">
        <f aca="false">IF(A23="","",COUNTIFS('Product Backlog'!$C$5:$C$104,A23,'Product Backlog'!$M$5:$M$104,"MVP"))</f>
        <v/>
      </c>
      <c r="H23" s="29" t="str">
        <f aca="false">IF(A23="","",SUMIFS('Product Backlog'!$K$5:$K$104,'Product Backlog'!$C$5:$C$104,A23,'Product Backlog'!$M$5:$M$104,"MVP"))</f>
        <v/>
      </c>
      <c r="I23" s="29" t="str">
        <f aca="false">IF(A23="","",SUMIFS('Product Backlog'!$K$5:$K$104,'Product Backlog'!$C$5:$C$104,A23,'Product Backlog'!$M$5:$M$104,"MVP",'Product Backlog'!$O$5:$O$104,"Done"))</f>
        <v/>
      </c>
      <c r="J23" s="31" t="str">
        <f aca="false">IF(OR(A23="",N(H23)=0),"",I23/H23)</f>
        <v/>
      </c>
      <c r="K23" s="29" t="str">
        <f aca="false">IF(A23="","",COUNTIFS('Product Backlog'!$C$5:$C$104,A23)-G23)</f>
        <v/>
      </c>
      <c r="L23" s="13"/>
      <c r="M23" s="12"/>
    </row>
    <row r="24" customFormat="false" ht="19.5" hidden="false" customHeight="true" outlineLevel="0" collapsed="false">
      <c r="A24" s="13"/>
      <c r="B24" s="12"/>
      <c r="C24" s="12"/>
      <c r="D24" s="12"/>
      <c r="E24" s="12"/>
      <c r="F24" s="13"/>
      <c r="G24" s="29" t="str">
        <f aca="false">IF(A24="","",COUNTIFS('Product Backlog'!$C$5:$C$104,A24,'Product Backlog'!$M$5:$M$104,"MVP"))</f>
        <v/>
      </c>
      <c r="H24" s="29" t="str">
        <f aca="false">IF(A24="","",SUMIFS('Product Backlog'!$K$5:$K$104,'Product Backlog'!$C$5:$C$104,A24,'Product Backlog'!$M$5:$M$104,"MVP"))</f>
        <v/>
      </c>
      <c r="I24" s="29" t="str">
        <f aca="false">IF(A24="","",SUMIFS('Product Backlog'!$K$5:$K$104,'Product Backlog'!$C$5:$C$104,A24,'Product Backlog'!$M$5:$M$104,"MVP",'Product Backlog'!$O$5:$O$104,"Done"))</f>
        <v/>
      </c>
      <c r="J24" s="31" t="str">
        <f aca="false">IF(OR(A24="",N(H24)=0),"",I24/H24)</f>
        <v/>
      </c>
      <c r="K24" s="29" t="str">
        <f aca="false">IF(A24="","",COUNTIFS('Product Backlog'!$C$5:$C$104,A24)-G24)</f>
        <v/>
      </c>
      <c r="L24" s="13"/>
      <c r="M24" s="12"/>
    </row>
  </sheetData>
  <conditionalFormatting sqref="J5:J24">
    <cfRule type="dataBar" priority="2">
      <dataBar showValue="1" minLength="10" maxLength="90">
        <cfvo type="num" val="0"/>
        <cfvo type="num" val="1"/>
        <color rgb="FF5B9BD5"/>
      </dataBar>
      <extLst>
        <ext xmlns:x14="http://schemas.microsoft.com/office/spreadsheetml/2009/9/main" uri="{B025F937-C7B1-47D3-B67F-A62EFF666E3E}">
          <x14:id>{83B1B58E-46F9-4CC6-8DA2-4C357789B04B}</x14:id>
        </ext>
      </extLst>
    </cfRule>
  </conditionalFormatting>
  <conditionalFormatting sqref="L5:L24">
    <cfRule type="cellIs" priority="3" operator="equal" aboveAverage="0" equalAverage="0" bottom="0" percent="0" rank="0" text="" dxfId="1">
      <formula>"Done"</formula>
    </cfRule>
    <cfRule type="cellIs" priority="4" operator="equal" aboveAverage="0" equalAverage="0" bottom="0" percent="0" rank="0" text="" dxfId="0">
      <formula>"In Progress"</formula>
    </cfRule>
  </conditionalFormatting>
  <dataValidations count="2">
    <dataValidation allowBlank="true" errorStyle="stop" operator="between" showDropDown="false" showErrorMessage="false" showInputMessage="false" sqref="F5:F24" type="list">
      <formula1>"MVP,Phase 2"</formula1>
      <formula2>0</formula2>
    </dataValidation>
    <dataValidation allowBlank="true" errorStyle="stop" operator="between" showDropDown="false" showErrorMessage="false" showInputMessage="false" sqref="L5:L24" type="list">
      <formula1>"Not Started,In Progress,Done"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83B1B58E-46F9-4CC6-8DA2-4C357789B04B}">
            <x14:dataBar minLength="10" maxLength="90" axisPosition="none" gradient="true">
              <x14:cfvo type="num">
                <xm:f>0</xm:f>
              </x14:cfvo>
              <x14:cfvo type="num">
                <xm:f>1</xm:f>
              </x14:cfvo>
              <x14:negativeFillColor rgb="FF5B9BD5"/>
              <x14:axisColor rgb="FF000000"/>
            </x14:dataBar>
          </x14:cfRule>
          <xm:sqref>J5:J24</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3" min="2" style="0" width="12"/>
    <col collapsed="false" customWidth="true" hidden="false" outlineLevel="0" max="4" min="4" style="0" width="42"/>
    <col collapsed="false" customWidth="true" hidden="false" outlineLevel="0" max="6" min="5" style="0" width="10"/>
    <col collapsed="false" customWidth="true" hidden="false" outlineLevel="0" max="8" min="7" style="0" width="11"/>
    <col collapsed="false" customWidth="true" hidden="false" outlineLevel="0" max="9" min="9" style="0" width="10"/>
    <col collapsed="false" customWidth="true" hidden="false" outlineLevel="0" max="11" min="10" style="0" width="9"/>
    <col collapsed="false" customWidth="true" hidden="false" outlineLevel="0" max="12" min="12" style="0" width="12"/>
    <col collapsed="false" customWidth="true" hidden="false" outlineLevel="0" max="13" min="13" style="0" width="44"/>
  </cols>
  <sheetData>
    <row r="1" customFormat="false" ht="19.7" hidden="false" customHeight="false" outlineLevel="0" collapsed="false">
      <c r="A1" s="24" t="s">
        <v>474</v>
      </c>
    </row>
    <row r="2" customFormat="false" ht="15" hidden="false" customHeight="false" outlineLevel="0" collapsed="false">
      <c r="A2" s="16" t="s">
        <v>475</v>
      </c>
    </row>
    <row r="3" customFormat="false" ht="15" hidden="false" customHeight="false" outlineLevel="0" collapsed="false">
      <c r="A3" s="25" t="s">
        <v>476</v>
      </c>
    </row>
    <row r="4" customFormat="false" ht="39.75" hidden="false" customHeight="true" outlineLevel="0" collapsed="false">
      <c r="A4" s="26" t="s">
        <v>59</v>
      </c>
      <c r="B4" s="26" t="s">
        <v>477</v>
      </c>
      <c r="C4" s="26" t="s">
        <v>478</v>
      </c>
      <c r="D4" s="26" t="s">
        <v>479</v>
      </c>
      <c r="E4" s="26" t="s">
        <v>480</v>
      </c>
      <c r="F4" s="27" t="s">
        <v>481</v>
      </c>
      <c r="G4" s="27" t="s">
        <v>482</v>
      </c>
      <c r="H4" s="27" t="s">
        <v>483</v>
      </c>
      <c r="I4" s="27" t="s">
        <v>484</v>
      </c>
      <c r="J4" s="27" t="s">
        <v>485</v>
      </c>
      <c r="K4" s="27" t="s">
        <v>486</v>
      </c>
      <c r="L4" s="26" t="s">
        <v>487</v>
      </c>
      <c r="M4" s="26" t="s">
        <v>125</v>
      </c>
    </row>
    <row r="5" customFormat="false" ht="31.5" hidden="false" customHeight="true" outlineLevel="0" collapsed="false">
      <c r="A5" s="13" t="s">
        <v>135</v>
      </c>
      <c r="B5" s="14" t="n">
        <v>46223</v>
      </c>
      <c r="C5" s="14" t="n">
        <v>46234</v>
      </c>
      <c r="D5" s="12" t="s">
        <v>488</v>
      </c>
      <c r="E5" s="34" t="n">
        <v>25</v>
      </c>
      <c r="F5" s="29" t="n">
        <f aca="false">IF(A5="","",SUMIFS('Product Backlog'!$K$5:$K$104,'Product Backlog'!$N$5:$N$104,A5))</f>
        <v>24</v>
      </c>
      <c r="G5" s="30" t="n">
        <f aca="false">IF(OR(A5="",E5=""),"",E5-F5)</f>
        <v>1</v>
      </c>
      <c r="H5" s="29" t="n">
        <f aca="false">IF(A5="","",SUMIFS('Product Backlog'!$K$5:$K$104,'Product Backlog'!$N$5:$N$104,A5,'Product Backlog'!$O$5:$O$104,"Done"))</f>
        <v>24</v>
      </c>
      <c r="I5" s="31" t="n">
        <f aca="false">IF(OR(A5="",N(F5)=0),"",H5/F5)</f>
        <v>1</v>
      </c>
      <c r="J5" s="29" t="n">
        <f aca="false">IF(A5="","",COUNTIFS('Product Backlog'!$N$5:$N$104,A5))</f>
        <v>4</v>
      </c>
      <c r="K5" s="29" t="n">
        <f aca="false">IF(A5="","",COUNTIFS('Product Backlog'!$N$5:$N$104,A5,'Product Backlog'!$O$5:$O$104,"Blocked"))</f>
        <v>0</v>
      </c>
      <c r="L5" s="13" t="s">
        <v>136</v>
      </c>
      <c r="M5" s="12" t="s">
        <v>489</v>
      </c>
    </row>
    <row r="6" customFormat="false" ht="31.5" hidden="false" customHeight="true" outlineLevel="0" collapsed="false">
      <c r="A6" s="13" t="s">
        <v>177</v>
      </c>
      <c r="B6" s="14" t="n">
        <v>46237</v>
      </c>
      <c r="C6" s="14" t="n">
        <v>46248</v>
      </c>
      <c r="D6" s="12" t="s">
        <v>490</v>
      </c>
      <c r="E6" s="34" t="n">
        <v>25</v>
      </c>
      <c r="F6" s="29" t="n">
        <f aca="false">IF(A6="","",SUMIFS('Product Backlog'!$K$5:$K$104,'Product Backlog'!$N$5:$N$104,A6))</f>
        <v>24</v>
      </c>
      <c r="G6" s="30" t="n">
        <f aca="false">IF(OR(A6="",E6=""),"",E6-F6)</f>
        <v>1</v>
      </c>
      <c r="H6" s="29" t="n">
        <f aca="false">IF(A6="","",SUMIFS('Product Backlog'!$K$5:$K$104,'Product Backlog'!$N$5:$N$104,A6,'Product Backlog'!$O$5:$O$104,"Done"))</f>
        <v>24</v>
      </c>
      <c r="I6" s="31" t="n">
        <f aca="false">IF(OR(A6="",N(F6)=0),"",H6/F6)</f>
        <v>1</v>
      </c>
      <c r="J6" s="29" t="n">
        <f aca="false">IF(A6="","",COUNTIFS('Product Backlog'!$N$5:$N$104,A6))</f>
        <v>4</v>
      </c>
      <c r="K6" s="29" t="n">
        <f aca="false">IF(A6="","",COUNTIFS('Product Backlog'!$N$5:$N$104,A6,'Product Backlog'!$O$5:$O$104,"Blocked"))</f>
        <v>0</v>
      </c>
      <c r="L6" s="13" t="s">
        <v>136</v>
      </c>
      <c r="M6" s="12"/>
    </row>
    <row r="7" customFormat="false" ht="31.5" hidden="false" customHeight="true" outlineLevel="0" collapsed="false">
      <c r="A7" s="13" t="s">
        <v>188</v>
      </c>
      <c r="B7" s="14" t="n">
        <v>46251</v>
      </c>
      <c r="C7" s="14" t="n">
        <v>46262</v>
      </c>
      <c r="D7" s="12" t="s">
        <v>491</v>
      </c>
      <c r="E7" s="34" t="n">
        <v>25</v>
      </c>
      <c r="F7" s="29" t="n">
        <f aca="false">IF(A7="","",SUMIFS('Product Backlog'!$K$5:$K$104,'Product Backlog'!$N$5:$N$104,A7))</f>
        <v>21</v>
      </c>
      <c r="G7" s="30" t="n">
        <f aca="false">IF(OR(A7="",E7=""),"",E7-F7)</f>
        <v>4</v>
      </c>
      <c r="H7" s="29" t="n">
        <f aca="false">IF(A7="","",SUMIFS('Product Backlog'!$K$5:$K$104,'Product Backlog'!$N$5:$N$104,A7,'Product Backlog'!$O$5:$O$104,"Done"))</f>
        <v>21</v>
      </c>
      <c r="I7" s="31" t="n">
        <f aca="false">IF(OR(A7="",N(F7)=0),"",H7/F7)</f>
        <v>1</v>
      </c>
      <c r="J7" s="29" t="n">
        <f aca="false">IF(A7="","",COUNTIFS('Product Backlog'!$N$5:$N$104,A7))</f>
        <v>4</v>
      </c>
      <c r="K7" s="29" t="n">
        <f aca="false">IF(A7="","",COUNTIFS('Product Backlog'!$N$5:$N$104,A7,'Product Backlog'!$O$5:$O$104,"Blocked"))</f>
        <v>0</v>
      </c>
      <c r="L7" s="13" t="s">
        <v>136</v>
      </c>
      <c r="M7" s="12" t="s">
        <v>492</v>
      </c>
    </row>
    <row r="8" customFormat="false" ht="31.5" hidden="false" customHeight="true" outlineLevel="0" collapsed="false">
      <c r="A8" s="13" t="s">
        <v>197</v>
      </c>
      <c r="B8" s="14" t="n">
        <v>46265</v>
      </c>
      <c r="C8" s="14" t="n">
        <v>46276</v>
      </c>
      <c r="D8" s="12" t="s">
        <v>493</v>
      </c>
      <c r="E8" s="34" t="n">
        <v>40</v>
      </c>
      <c r="F8" s="29" t="n">
        <f aca="false">IF(A8="","",SUMIFS('Product Backlog'!$K$5:$K$104,'Product Backlog'!$N$5:$N$104,A8))</f>
        <v>29</v>
      </c>
      <c r="G8" s="30" t="n">
        <f aca="false">IF(OR(A8="",E8=""),"",E8-F8)</f>
        <v>11</v>
      </c>
      <c r="H8" s="29" t="n">
        <f aca="false">IF(A8="","",SUMIFS('Product Backlog'!$K$5:$K$104,'Product Backlog'!$N$5:$N$104,A8,'Product Backlog'!$O$5:$O$104,"Done"))</f>
        <v>11</v>
      </c>
      <c r="I8" s="31" t="n">
        <f aca="false">IF(OR(A8="",N(F8)=0),"",H8/F8)</f>
        <v>0.379310344827586</v>
      </c>
      <c r="J8" s="29" t="n">
        <f aca="false">IF(A8="","",COUNTIFS('Product Backlog'!$N$5:$N$104,A8))</f>
        <v>5</v>
      </c>
      <c r="K8" s="29" t="n">
        <f aca="false">IF(A8="","",COUNTIFS('Product Backlog'!$N$5:$N$104,A8,'Product Backlog'!$O$5:$O$104,"Blocked"))</f>
        <v>1</v>
      </c>
      <c r="L8" s="13" t="s">
        <v>204</v>
      </c>
      <c r="M8" s="12" t="s">
        <v>494</v>
      </c>
    </row>
    <row r="9" customFormat="false" ht="31.5" hidden="false" customHeight="true" outlineLevel="0" collapsed="false">
      <c r="A9" s="13" t="s">
        <v>212</v>
      </c>
      <c r="B9" s="14" t="n">
        <v>46279</v>
      </c>
      <c r="C9" s="14" t="n">
        <v>46290</v>
      </c>
      <c r="D9" s="12" t="s">
        <v>495</v>
      </c>
      <c r="E9" s="34" t="n">
        <v>40</v>
      </c>
      <c r="F9" s="29" t="n">
        <f aca="false">IF(A9="","",SUMIFS('Product Backlog'!$K$5:$K$104,'Product Backlog'!$N$5:$N$104,A9))</f>
        <v>34</v>
      </c>
      <c r="G9" s="30" t="n">
        <f aca="false">IF(OR(A9="",E9=""),"",E9-F9)</f>
        <v>6</v>
      </c>
      <c r="H9" s="29" t="n">
        <f aca="false">IF(A9="","",SUMIFS('Product Backlog'!$K$5:$K$104,'Product Backlog'!$N$5:$N$104,A9,'Product Backlog'!$O$5:$O$104,"Done"))</f>
        <v>0</v>
      </c>
      <c r="I9" s="31" t="n">
        <f aca="false">IF(OR(A9="",N(F9)=0),"",H9/F9)</f>
        <v>0</v>
      </c>
      <c r="J9" s="29" t="n">
        <f aca="false">IF(A9="","",COUNTIFS('Product Backlog'!$N$5:$N$104,A9))</f>
        <v>5</v>
      </c>
      <c r="K9" s="29" t="n">
        <f aca="false">IF(A9="","",COUNTIFS('Product Backlog'!$N$5:$N$104,A9,'Product Backlog'!$O$5:$O$104,"Blocked"))</f>
        <v>0</v>
      </c>
      <c r="L9" s="13" t="s">
        <v>496</v>
      </c>
      <c r="M9" s="12" t="s">
        <v>497</v>
      </c>
    </row>
    <row r="10" customFormat="false" ht="31.5" hidden="false" customHeight="true" outlineLevel="0" collapsed="false">
      <c r="A10" s="13" t="s">
        <v>145</v>
      </c>
      <c r="B10" s="14" t="n">
        <v>46293</v>
      </c>
      <c r="C10" s="14" t="n">
        <v>46304</v>
      </c>
      <c r="D10" s="12" t="s">
        <v>498</v>
      </c>
      <c r="E10" s="34" t="n">
        <v>40</v>
      </c>
      <c r="F10" s="29" t="n">
        <f aca="false">IF(A10="","",SUMIFS('Product Backlog'!$K$5:$K$104,'Product Backlog'!$N$5:$N$104,A10))</f>
        <v>39</v>
      </c>
      <c r="G10" s="30" t="n">
        <f aca="false">IF(OR(A10="",E10=""),"",E10-F10)</f>
        <v>1</v>
      </c>
      <c r="H10" s="29" t="n">
        <f aca="false">IF(A10="","",SUMIFS('Product Backlog'!$K$5:$K$104,'Product Backlog'!$N$5:$N$104,A10,'Product Backlog'!$O$5:$O$104,"Done"))</f>
        <v>0</v>
      </c>
      <c r="I10" s="31" t="n">
        <f aca="false">IF(OR(A10="",N(F10)=0),"",H10/F10)</f>
        <v>0</v>
      </c>
      <c r="J10" s="29" t="n">
        <f aca="false">IF(A10="","",COUNTIFS('Product Backlog'!$N$5:$N$104,A10))</f>
        <v>6</v>
      </c>
      <c r="K10" s="29" t="n">
        <f aca="false">IF(A10="","",COUNTIFS('Product Backlog'!$N$5:$N$104,A10,'Product Backlog'!$O$5:$O$104,"Blocked"))</f>
        <v>1</v>
      </c>
      <c r="L10" s="13" t="s">
        <v>496</v>
      </c>
      <c r="M10" s="12"/>
    </row>
    <row r="11" customFormat="false" ht="24" hidden="false" customHeight="true" outlineLevel="0" collapsed="false">
      <c r="A11" s="13" t="s">
        <v>160</v>
      </c>
      <c r="B11" s="14" t="n">
        <v>46307</v>
      </c>
      <c r="C11" s="14" t="n">
        <v>46318</v>
      </c>
      <c r="D11" s="12" t="s">
        <v>499</v>
      </c>
      <c r="E11" s="34" t="n">
        <v>40</v>
      </c>
      <c r="F11" s="29" t="n">
        <f aca="false">IF(A11="","",SUMIFS('Product Backlog'!$K$5:$K$104,'Product Backlog'!$N$5:$N$104,A11))</f>
        <v>37</v>
      </c>
      <c r="G11" s="30" t="n">
        <f aca="false">IF(OR(A11="",E11=""),"",E11-F11)</f>
        <v>3</v>
      </c>
      <c r="H11" s="29" t="n">
        <f aca="false">IF(A11="","",SUMIFS('Product Backlog'!$K$5:$K$104,'Product Backlog'!$N$5:$N$104,A11,'Product Backlog'!$O$5:$O$104,"Done"))</f>
        <v>0</v>
      </c>
      <c r="I11" s="31" t="n">
        <f aca="false">IF(OR(A11="",N(F11)=0),"",H11/F11)</f>
        <v>0</v>
      </c>
      <c r="J11" s="29" t="n">
        <f aca="false">IF(A11="","",COUNTIFS('Product Backlog'!$N$5:$N$104,A11))</f>
        <v>6</v>
      </c>
      <c r="K11" s="29" t="n">
        <f aca="false">IF(A11="","",COUNTIFS('Product Backlog'!$N$5:$N$104,A11,'Product Backlog'!$O$5:$O$104,"Blocked"))</f>
        <v>0</v>
      </c>
      <c r="L11" s="13" t="s">
        <v>496</v>
      </c>
      <c r="M11" s="12"/>
    </row>
    <row r="12" customFormat="false" ht="31.5" hidden="false" customHeight="true" outlineLevel="0" collapsed="false">
      <c r="A12" s="13" t="s">
        <v>167</v>
      </c>
      <c r="B12" s="14" t="n">
        <v>46321</v>
      </c>
      <c r="C12" s="14" t="n">
        <v>46332</v>
      </c>
      <c r="D12" s="12" t="s">
        <v>500</v>
      </c>
      <c r="E12" s="34" t="n">
        <v>40</v>
      </c>
      <c r="F12" s="29" t="n">
        <f aca="false">IF(A12="","",SUMIFS('Product Backlog'!$K$5:$K$104,'Product Backlog'!$N$5:$N$104,A12))</f>
        <v>36</v>
      </c>
      <c r="G12" s="30" t="n">
        <f aca="false">IF(OR(A12="",E12=""),"",E12-F12)</f>
        <v>4</v>
      </c>
      <c r="H12" s="29" t="n">
        <f aca="false">IF(A12="","",SUMIFS('Product Backlog'!$K$5:$K$104,'Product Backlog'!$N$5:$N$104,A12,'Product Backlog'!$O$5:$O$104,"Done"))</f>
        <v>0</v>
      </c>
      <c r="I12" s="31" t="n">
        <f aca="false">IF(OR(A12="",N(F12)=0),"",H12/F12)</f>
        <v>0</v>
      </c>
      <c r="J12" s="29" t="n">
        <f aca="false">IF(A12="","",COUNTIFS('Product Backlog'!$N$5:$N$104,A12))</f>
        <v>7</v>
      </c>
      <c r="K12" s="29" t="n">
        <f aca="false">IF(A12="","",COUNTIFS('Product Backlog'!$N$5:$N$104,A12,'Product Backlog'!$O$5:$O$104,"Blocked"))</f>
        <v>0</v>
      </c>
      <c r="L12" s="13" t="s">
        <v>496</v>
      </c>
      <c r="M12" s="12"/>
    </row>
    <row r="13" customFormat="false" ht="24" hidden="false" customHeight="true" outlineLevel="0" collapsed="false">
      <c r="A13" s="13" t="s">
        <v>405</v>
      </c>
      <c r="B13" s="14" t="n">
        <v>46335</v>
      </c>
      <c r="C13" s="14" t="n">
        <v>46346</v>
      </c>
      <c r="D13" s="12" t="s">
        <v>501</v>
      </c>
      <c r="E13" s="34" t="n">
        <v>20</v>
      </c>
      <c r="F13" s="29" t="n">
        <f aca="false">IF(A13="","",SUMIFS('Product Backlog'!$K$5:$K$104,'Product Backlog'!$N$5:$N$104,A13))</f>
        <v>8</v>
      </c>
      <c r="G13" s="30" t="n">
        <f aca="false">IF(OR(A13="",E13=""),"",E13-F13)</f>
        <v>12</v>
      </c>
      <c r="H13" s="29" t="n">
        <f aca="false">IF(A13="","",SUMIFS('Product Backlog'!$K$5:$K$104,'Product Backlog'!$N$5:$N$104,A13,'Product Backlog'!$O$5:$O$104,"Done"))</f>
        <v>0</v>
      </c>
      <c r="I13" s="31" t="n">
        <f aca="false">IF(OR(A13="",N(F13)=0),"",H13/F13)</f>
        <v>0</v>
      </c>
      <c r="J13" s="29" t="n">
        <f aca="false">IF(A13="","",COUNTIFS('Product Backlog'!$N$5:$N$104,A13))</f>
        <v>1</v>
      </c>
      <c r="K13" s="29" t="n">
        <f aca="false">IF(A13="","",COUNTIFS('Product Backlog'!$N$5:$N$104,A13,'Product Backlog'!$O$5:$O$104,"Blocked"))</f>
        <v>0</v>
      </c>
      <c r="L13" s="13" t="s">
        <v>496</v>
      </c>
      <c r="M13" s="12" t="s">
        <v>502</v>
      </c>
    </row>
    <row r="14" customFormat="false" ht="31.5" hidden="false" customHeight="true" outlineLevel="0" collapsed="false">
      <c r="A14" s="13" t="s">
        <v>503</v>
      </c>
      <c r="B14" s="14" t="n">
        <v>46349</v>
      </c>
      <c r="C14" s="14" t="n">
        <v>46360</v>
      </c>
      <c r="D14" s="12" t="s">
        <v>504</v>
      </c>
      <c r="E14" s="34" t="n">
        <v>20</v>
      </c>
      <c r="F14" s="29" t="n">
        <f aca="false">IF(A14="","",SUMIFS('Product Backlog'!$K$5:$K$104,'Product Backlog'!$N$5:$N$104,A14))</f>
        <v>0</v>
      </c>
      <c r="G14" s="30" t="n">
        <f aca="false">IF(OR(A14="",E14=""),"",E14-F14)</f>
        <v>20</v>
      </c>
      <c r="H14" s="29" t="n">
        <f aca="false">IF(A14="","",SUMIFS('Product Backlog'!$K$5:$K$104,'Product Backlog'!$N$5:$N$104,A14,'Product Backlog'!$O$5:$O$104,"Done"))</f>
        <v>0</v>
      </c>
      <c r="I14" s="31" t="str">
        <f aca="false">IF(OR(A14="",N(F14)=0),"",H14/F14)</f>
        <v/>
      </c>
      <c r="J14" s="29" t="n">
        <f aca="false">IF(A14="","",COUNTIFS('Product Backlog'!$N$5:$N$104,A14))</f>
        <v>0</v>
      </c>
      <c r="K14" s="29" t="n">
        <f aca="false">IF(A14="","",COUNTIFS('Product Backlog'!$N$5:$N$104,A14,'Product Backlog'!$O$5:$O$104,"Blocked"))</f>
        <v>0</v>
      </c>
      <c r="L14" s="13" t="s">
        <v>496</v>
      </c>
      <c r="M14" s="12" t="s">
        <v>505</v>
      </c>
    </row>
    <row r="15" customFormat="false" ht="15" hidden="false" customHeight="false" outlineLevel="0" collapsed="false">
      <c r="A15" s="35" t="s">
        <v>506</v>
      </c>
      <c r="B15" s="36"/>
      <c r="C15" s="36"/>
      <c r="D15" s="36"/>
      <c r="E15" s="32" t="n">
        <f aca="false">SUM(E5:E14)</f>
        <v>315</v>
      </c>
      <c r="F15" s="32" t="n">
        <f aca="false">SUM(F5:F14)</f>
        <v>252</v>
      </c>
      <c r="G15" s="32" t="n">
        <f aca="false">SUM(G5:G14)</f>
        <v>63</v>
      </c>
      <c r="H15" s="32" t="n">
        <f aca="false">SUM(H5:H14)</f>
        <v>80</v>
      </c>
      <c r="I15" s="33" t="n">
        <f aca="false">IF(N(F15)=0,"",H15/F15)</f>
        <v>0.317460317460317</v>
      </c>
      <c r="J15" s="32" t="n">
        <f aca="false">SUM(J5:J14)</f>
        <v>42</v>
      </c>
      <c r="K15" s="32" t="n">
        <f aca="false">SUM(K5:K14)</f>
        <v>2</v>
      </c>
      <c r="L15" s="36"/>
      <c r="M15" s="36"/>
    </row>
    <row r="17" customFormat="false" ht="15" hidden="false" customHeight="false" outlineLevel="0" collapsed="false">
      <c r="A17" s="17" t="s">
        <v>507</v>
      </c>
      <c r="E17" s="32" t="n">
        <f aca="false">SUMIFS('Product Backlog'!$K$5:$K$104,'Product Backlog'!$N$5:$N$104,"Backlog")</f>
        <v>3</v>
      </c>
      <c r="F17" s="37" t="s">
        <v>508</v>
      </c>
    </row>
    <row r="18" customFormat="false" ht="15" hidden="false" customHeight="false" outlineLevel="0" collapsed="false">
      <c r="A18" s="17" t="s">
        <v>411</v>
      </c>
      <c r="E18" s="32" t="n">
        <f aca="false">SUMIFS('Product Backlog'!$K$5:$K$104,'Product Backlog'!$N$5:$N$104,"Phase 2")</f>
        <v>63</v>
      </c>
      <c r="F18" s="37" t="s">
        <v>509</v>
      </c>
    </row>
    <row r="19" customFormat="false" ht="23.85" hidden="false" customHeight="false" outlineLevel="0" collapsed="false">
      <c r="A19" s="17" t="s">
        <v>510</v>
      </c>
      <c r="E19" s="32" t="s">
        <v>511</v>
      </c>
      <c r="F19" s="37" t="s">
        <v>512</v>
      </c>
    </row>
  </sheetData>
  <conditionalFormatting sqref="L5:L14">
    <cfRule type="cellIs" priority="2" operator="equal" aboveAverage="0" equalAverage="0" bottom="0" percent="0" rank="0" text="" dxfId="1">
      <formula>"Done"</formula>
    </cfRule>
    <cfRule type="cellIs" priority="3" operator="equal" aboveAverage="0" equalAverage="0" bottom="0" percent="0" rank="0" text="" dxfId="0">
      <formula>"In Progress"</formula>
    </cfRule>
  </conditionalFormatting>
  <conditionalFormatting sqref="G5:G14">
    <cfRule type="cellIs" priority="4" operator="lessThan" aboveAverage="0" equalAverage="0" bottom="0" percent="0" rank="0" text="" dxfId="2">
      <formula>0</formula>
    </cfRule>
  </conditionalFormatting>
  <conditionalFormatting sqref="K5:K14">
    <cfRule type="cellIs" priority="5" operator="greaterThan" aboveAverage="0" equalAverage="0" bottom="0" percent="0" rank="0" text="" dxfId="2">
      <formula>0</formula>
    </cfRule>
  </conditionalFormatting>
  <dataValidations count="1">
    <dataValidation allowBlank="true" errorStyle="stop" operator="between" showDropDown="false" showErrorMessage="false" showInputMessage="false" sqref="L5:L14" type="list">
      <formula1>"Planned,In Progress,Done"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2026-09-10T16:17:08Z</dcterms:created>
  <dc:creator>openpyxl</dc:creator>
  <dc:description/>
  <dc:language>en-US</dc:language>
  <cp:lastModifiedBy/>
  <dcterms:modified xsi:type="dcterms:W3CDTF">2026-09-10T16:17:10Z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