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Dashboard" sheetId="2" state="visible" r:id="rId4"/>
    <sheet name="Requirements" sheetId="3" state="visible" r:id="rId5"/>
    <sheet name="Test Cases" sheetId="4" state="visible" r:id="rId6"/>
    <sheet name="Controls" sheetId="5" state="visible" r:id="rId7"/>
    <sheet name="Defects" sheetId="6" state="visible" r:id="rId8"/>
  </sheets>
  <definedNames>
    <definedName function="false" hidden="false" localSheetId="4" name="_xlnm.Print_Area" vbProcedure="false">Controls!$A$1:$M$14</definedName>
    <definedName function="false" hidden="false" localSheetId="4" name="_xlnm.Print_Titles" vbProcedure="false">Controls!$4:$4</definedName>
    <definedName function="false" hidden="true" localSheetId="4" name="_xlnm._FilterDatabase" vbProcedure="false">Controls!$A$4:$M$34</definedName>
    <definedName function="false" hidden="false" localSheetId="5" name="_xlnm.Print_Area" vbProcedure="false">Defects!$A$1:$P$9</definedName>
    <definedName function="false" hidden="false" localSheetId="5" name="_xlnm.Print_Titles" vbProcedure="false">Defects!$4:$4</definedName>
    <definedName function="false" hidden="true" localSheetId="5" name="_xlnm._FilterDatabase" vbProcedure="false">Defects!$A$4:$P$104</definedName>
    <definedName function="false" hidden="false" localSheetId="2" name="_xlnm.Print_Area" vbProcedure="false">Requirements!$A$1:$U$29</definedName>
    <definedName function="false" hidden="false" localSheetId="2" name="_xlnm.Print_Titles" vbProcedure="false">Requirements!$4:$4</definedName>
    <definedName function="false" hidden="true" localSheetId="2" name="_xlnm._FilterDatabase" vbProcedure="false">Requirements!$A$4:$U$64</definedName>
    <definedName function="false" hidden="false" localSheetId="3" name="_xlnm.Print_Area" vbProcedure="false">'Test Cases'!$A$1:$P$67</definedName>
    <definedName function="false" hidden="false" localSheetId="3" name="_xlnm.Print_Titles" vbProcedure="false">'Test Cases'!$4:$4</definedName>
    <definedName function="false" hidden="true" localSheetId="3" name="_xlnm._FilterDatabase" vbProcedure="false">'Test Cases'!$A$4:$P$204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<sst xmlns="http://schemas.openxmlformats.org/spreadsheetml/2006/main" count="1371" uniqueCount="698">
  <si>
    <t xml:space="preserve">Requirements Traceability Matrix</t>
  </si>
  <si>
    <t xml:space="preserve">Merchant Payment Operations &amp; Dispute Hub</t>
  </si>
  <si>
    <t xml:space="preserve">Document</t>
  </si>
  <si>
    <t xml:space="preserve">Requirements Traceability Matrix (RTM)</t>
  </si>
  <si>
    <t xml:space="preserve">Version</t>
  </si>
  <si>
    <t xml:space="preserve">1.0</t>
  </si>
  <si>
    <t xml:space="preserve">Reporting date</t>
  </si>
  <si>
    <t xml:space="preserve">Prepared by</t>
  </si>
  <si>
    <t xml:space="preserve">Bhawna, Product Owner</t>
  </si>
  <si>
    <t xml:space="preserve">Test phase</t>
  </si>
  <si>
    <t xml:space="preserve">System integration testing (SIT) in progress; UAT, non-functional and security testing planned</t>
  </si>
  <si>
    <t xml:space="preserve">Companion documents</t>
  </si>
  <si>
    <t xml:space="preserve">Product_Backlog (US- IDs), RAID_Log (R-, A-, I-, D- IDs) and Change_Log (CR- IDs) workbooks</t>
  </si>
  <si>
    <t xml:space="preserve">Project type</t>
  </si>
  <si>
    <t xml:space="preserve">Simulation / portfolio project prepared to demonstrate Product Owner practice. Not an actual client system; teams, dates, results and controls are illustrative.</t>
  </si>
  <si>
    <t xml:space="preserve">Purpose</t>
  </si>
  <si>
    <t xml:space="preserve">Shows that every approved requirement is built, tested and evidenced. Each requirement traces forward to user stories and test cases, and each compliance control traces to the requirements and tests that prove it. The Dashboard highlights coverage gaps, failing or blocked tests, open defects and controls without evidence.</t>
  </si>
  <si>
    <t xml:space="preserve">Traceability chain</t>
  </si>
  <si>
    <t xml:space="preserve">Business requirement (BR)  →  User story (US, in the Product Backlog)  →  Test case (TC)  →  Execution result  →  Defect (DEF), if the test fails</t>
  </si>
  <si>
    <t xml:space="preserve">Compliance control (CTL)  →  Linked requirements (BR)  →  Test cases tagged with the control  →  Evidence for compliance sign-off</t>
  </si>
  <si>
    <t xml:space="preserve">Links are recorded by ID. Counts and statuses on the Requirements and Controls tabs calculate from the Test Cases and Defects tabs.</t>
  </si>
  <si>
    <t xml:space="preserve">Coverage status (Requirements tab)</t>
  </si>
  <si>
    <t xml:space="preserve">Status</t>
  </si>
  <si>
    <t xml:space="preserve">Meaning</t>
  </si>
  <si>
    <t xml:space="preserve">Verified</t>
  </si>
  <si>
    <t xml:space="preserve">All linked test cases have passed.</t>
  </si>
  <si>
    <t xml:space="preserve">Partially verified</t>
  </si>
  <si>
    <t xml:space="preserve">Some linked tests have passed; the rest haven't run yet. None have failed or are blocked.</t>
  </si>
  <si>
    <t xml:space="preserve">Not yet tested</t>
  </si>
  <si>
    <t xml:space="preserve">Test cases exist but none have run.</t>
  </si>
  <si>
    <t xml:space="preserve">Blocked</t>
  </si>
  <si>
    <t xml:space="preserve">At least one linked test can't run because of a dependency or issue, and none have failed.</t>
  </si>
  <si>
    <t xml:space="preserve">Failing</t>
  </si>
  <si>
    <t xml:space="preserve">At least one linked test has failed. Check the Defects tab.</t>
  </si>
  <si>
    <t xml:space="preserve">No test coverage</t>
  </si>
  <si>
    <t xml:space="preserve">Approved requirement with no test cases. This is a gap to close before UAT.</t>
  </si>
  <si>
    <t xml:space="preserve">Not in scope yet</t>
  </si>
  <si>
    <t xml:space="preserve">Requirement is pending a decision, deferred or withdrawn, so coverage isn't expected.</t>
  </si>
  <si>
    <t xml:space="preserve">Test phases</t>
  </si>
  <si>
    <t xml:space="preserve">Phase</t>
  </si>
  <si>
    <t xml:space="preserve">Scope</t>
  </si>
  <si>
    <t xml:space="preserve">SIT</t>
  </si>
  <si>
    <t xml:space="preserve">System integration testing by the delivery team during sprints, against the processor sandbox.</t>
  </si>
  <si>
    <t xml:space="preserve">UAT</t>
  </si>
  <si>
    <t xml:space="preserve">User acceptance testing by pilot merchants and dispute ops in the UAT environment.</t>
  </si>
  <si>
    <t xml:space="preserve">NFR</t>
  </si>
  <si>
    <t xml:space="preserve">Non-functional testing: accessibility and performance.</t>
  </si>
  <si>
    <t xml:space="preserve">Security</t>
  </si>
  <si>
    <t xml:space="preserve">Independent security validation by InfoSec, including penetration testing and redaction accuracy.</t>
  </si>
  <si>
    <t xml:space="preserve">How to maintain this matrix</t>
  </si>
  <si>
    <t xml:space="preserve">1. Add a requirement row once it is approved; link stories and any compliance controls by ID.</t>
  </si>
  <si>
    <t xml:space="preserve">2. Write at least one test case for every approved requirement before its stories enter a sprint.</t>
  </si>
  <si>
    <t xml:space="preserve">3. Update execution status and date after each test run; log a defect for every failure and put its ID on the test case.</t>
  </si>
  <si>
    <t xml:space="preserve">4. Review the Dashboard gaps list weekly with QA and Compliance, and before sprint reviews and UAT entry.</t>
  </si>
  <si>
    <t xml:space="preserve">5. Detailed test steps and evidence attachments live in the test management tool (for example Jira with Xray or Zephyr); this matrix holds the traceability view.</t>
  </si>
  <si>
    <t xml:space="preserve">6. Grey columns calculate automatically. Exact regulatory clause references should be confirmed with the client's compliance team.</t>
  </si>
  <si>
    <t xml:space="preserve">Version history</t>
  </si>
  <si>
    <t xml:space="preserve">Date</t>
  </si>
  <si>
    <t xml:space="preserve">Author</t>
  </si>
  <si>
    <t xml:space="preserve">Change summary</t>
  </si>
  <si>
    <t xml:space="preserve">Bhawna</t>
  </si>
  <si>
    <t xml:space="preserve">Initial matrix covering Sprints 1–4 SIT results and planned tests for remaining MVP scope.</t>
  </si>
  <si>
    <t xml:space="preserve">Traceability &amp; Test Coverage Dashboard</t>
  </si>
  <si>
    <t xml:space="preserve">Merchant Payment Operations &amp; Dispute Hub · Simulation project · Figures update automatically</t>
  </si>
  <si>
    <t xml:space="preserve">Summary</t>
  </si>
  <si>
    <t xml:space="preserve">Approved requirements</t>
  </si>
  <si>
    <t xml:space="preserve">Requirements with tests</t>
  </si>
  <si>
    <t xml:space="preserve">% with tests</t>
  </si>
  <si>
    <t xml:space="preserve">Test cases</t>
  </si>
  <si>
    <t xml:space="preserve">% executed</t>
  </si>
  <si>
    <t xml:space="preserve">Pass rate</t>
  </si>
  <si>
    <t xml:space="preserve">Open defects</t>
  </si>
  <si>
    <t xml:space="preserve">High / Critical open</t>
  </si>
  <si>
    <t xml:space="preserve">Failing reqs</t>
  </si>
  <si>
    <t xml:space="preserve">Blocked reqs</t>
  </si>
  <si>
    <t xml:space="preserve">Reqs with no tests</t>
  </si>
  <si>
    <t xml:space="preserve">Controls without tests</t>
  </si>
  <si>
    <t xml:space="preserve">Controls failing</t>
  </si>
  <si>
    <t xml:space="preserve">Requirement coverage status</t>
  </si>
  <si>
    <t xml:space="preserve">Requirements</t>
  </si>
  <si>
    <t xml:space="preserve">All linked tests passed</t>
  </si>
  <si>
    <t xml:space="preserve">Some passed, rest not yet run</t>
  </si>
  <si>
    <t xml:space="preserve">Tests written, none run</t>
  </si>
  <si>
    <t xml:space="preserve">A linked test can't run</t>
  </si>
  <si>
    <t xml:space="preserve">A linked test failed</t>
  </si>
  <si>
    <t xml:space="preserve">Approved but no tests: gap</t>
  </si>
  <si>
    <t xml:space="preserve">Pending decision or deferred</t>
  </si>
  <si>
    <t xml:space="preserve">Coverage by requirement category (approved requirements)</t>
  </si>
  <si>
    <t xml:space="preserve">Category</t>
  </si>
  <si>
    <t xml:space="preserve">Approved</t>
  </si>
  <si>
    <t xml:space="preserve">With tests</t>
  </si>
  <si>
    <t xml:space="preserve">Needs attention</t>
  </si>
  <si>
    <t xml:space="preserve">Coverage %</t>
  </si>
  <si>
    <t xml:space="preserve">Functional</t>
  </si>
  <si>
    <t xml:space="preserve">Integration</t>
  </si>
  <si>
    <t xml:space="preserve">Compliance</t>
  </si>
  <si>
    <t xml:space="preserve">Non-functional</t>
  </si>
  <si>
    <t xml:space="preserve">Reporting</t>
  </si>
  <si>
    <t xml:space="preserve">Data Quality</t>
  </si>
  <si>
    <t xml:space="preserve">Analytics</t>
  </si>
  <si>
    <t xml:space="preserve">Test execution by phase</t>
  </si>
  <si>
    <t xml:space="preserve">Total</t>
  </si>
  <si>
    <t xml:space="preserve">Passed</t>
  </si>
  <si>
    <t xml:space="preserve">Failed</t>
  </si>
  <si>
    <t xml:space="preserve">Not Run</t>
  </si>
  <si>
    <t xml:space="preserve">Requirements needing attention (failing, blocked or no test coverage)</t>
  </si>
  <si>
    <t xml:space="preserve">Req ID</t>
  </si>
  <si>
    <t xml:space="preserve">Requirement</t>
  </si>
  <si>
    <t xml:space="preserve">Coverage status</t>
  </si>
  <si>
    <t xml:space="preserve">Linked stories</t>
  </si>
  <si>
    <t xml:space="preserve">Linked RAID / CR</t>
  </si>
  <si>
    <t xml:space="preserve">Compliance control assurance</t>
  </si>
  <si>
    <t xml:space="preserve">Control ID</t>
  </si>
  <si>
    <t xml:space="preserve">Framework / Policy</t>
  </si>
  <si>
    <t xml:space="preserve">Tests</t>
  </si>
  <si>
    <t xml:space="preserve">Assurance status</t>
  </si>
  <si>
    <t xml:space="preserve">Owner</t>
  </si>
  <si>
    <t xml:space="preserve">Sign-off</t>
  </si>
  <si>
    <t xml:space="preserve">Merchant Payment Operations &amp; Dispute Hub · Simulation project · One row per approved or proposed requirement</t>
  </si>
  <si>
    <t xml:space="preserve">Grey columns calculate automatically. Edit white columns only; use dropdowns where provided.</t>
  </si>
  <si>
    <t xml:space="preserve">Source / Rationale</t>
  </si>
  <si>
    <t xml:space="preserve">Priority</t>
  </si>
  <si>
    <t xml:space="preserve">Business Owner</t>
  </si>
  <si>
    <t xml:space="preserve">Epic</t>
  </si>
  <si>
    <t xml:space="preserve">Linked User Stories</t>
  </si>
  <si>
    <t xml:space="preserve">Linked Controls</t>
  </si>
  <si>
    <t xml:space="preserve">Verification Method</t>
  </si>
  <si>
    <t xml:space="preserve">Requirement Status</t>
  </si>
  <si>
    <t xml:space="preserve">Tests Linked</t>
  </si>
  <si>
    <t xml:space="preserve">Open Defects</t>
  </si>
  <si>
    <t xml:space="preserve">Coverage Status</t>
  </si>
  <si>
    <t xml:space="preserve">UAT Sign-off</t>
  </si>
  <si>
    <t xml:space="preserve">Notes</t>
  </si>
  <si>
    <t xml:space="preserve">Gap helper</t>
  </si>
  <si>
    <t xml:space="preserve">BR-01</t>
  </si>
  <si>
    <t xml:space="preserve">Merchants can view all open disputes, their status and response deadlines in one self-service portal.</t>
  </si>
  <si>
    <t xml:space="preserve">Discovery interviews with pilot merchants</t>
  </si>
  <si>
    <t xml:space="preserve">Must</t>
  </si>
  <si>
    <t xml:space="preserve">Dispute Ops Lead</t>
  </si>
  <si>
    <t xml:space="preserve">EP-02</t>
  </si>
  <si>
    <t xml:space="preserve">US-006, US-008, US-009, US-011</t>
  </si>
  <si>
    <t xml:space="preserve">R-03</t>
  </si>
  <si>
    <t xml:space="preserve">Test</t>
  </si>
  <si>
    <t xml:space="preserve">Not Started</t>
  </si>
  <si>
    <t xml:space="preserve">BR-02</t>
  </si>
  <si>
    <t xml:space="preserve">Merchant users sign in with company single sign-on and receive role-based access (Admin, Finance, Operations).</t>
  </si>
  <si>
    <t xml:space="preserve">Security architecture review; IAM workshop</t>
  </si>
  <si>
    <t xml:space="preserve">Product Owner</t>
  </si>
  <si>
    <t xml:space="preserve">EP-01</t>
  </si>
  <si>
    <t xml:space="preserve">US-001, US-002, US-003</t>
  </si>
  <si>
    <t xml:space="preserve">CTL-05</t>
  </si>
  <si>
    <t xml:space="preserve">A-03, D-02</t>
  </si>
  <si>
    <t xml:space="preserve">BR-03</t>
  </si>
  <si>
    <t xml:space="preserve">Merchants can upload evidence and submit a dispute response to the processor before the deadline.</t>
  </si>
  <si>
    <t xml:space="preserve">Discovery interviews; dispute ops process walkthrough</t>
  </si>
  <si>
    <t xml:space="preserve">EP-03</t>
  </si>
  <si>
    <t xml:space="preserve">US-012, US-015, US-017</t>
  </si>
  <si>
    <t xml:space="preserve">CTL-09</t>
  </si>
  <si>
    <t xml:space="preserve">D-01, I-03</t>
  </si>
  <si>
    <t xml:space="preserve">BR-04</t>
  </si>
  <si>
    <t xml:space="preserve">Full card numbers are never stored or displayed in evidence, exports or analytics.</t>
  </si>
  <si>
    <t xml:space="preserve">PCI DSS scope assessment; CR-03</t>
  </si>
  <si>
    <t xml:space="preserve">Compliance Lead</t>
  </si>
  <si>
    <t xml:space="preserve">US-013, US-014, US-030, US-034</t>
  </si>
  <si>
    <t xml:space="preserve">CTL-01, CTL-02</t>
  </si>
  <si>
    <t xml:space="preserve">R-02, CR-03</t>
  </si>
  <si>
    <t xml:space="preserve">InfoSec validation of redaction accuracy is a condition of CR-03.</t>
  </si>
  <si>
    <t xml:space="preserve">BR-05</t>
  </si>
  <si>
    <t xml:space="preserve">Merchants can accept a dispute without contesting it.</t>
  </si>
  <si>
    <t xml:space="preserve">Dispute ops process walkthrough</t>
  </si>
  <si>
    <t xml:space="preserve">Should</t>
  </si>
  <si>
    <t xml:space="preserve">US-016</t>
  </si>
  <si>
    <t xml:space="preserve">BR-06</t>
  </si>
  <si>
    <t xml:space="preserve">New disputes are received from the processor automatically without duplicates, and status changes are reflected within 5 minutes.</t>
  </si>
  <si>
    <t xml:space="preserve">Solution design; processor API review</t>
  </si>
  <si>
    <t xml:space="preserve">Tech Lead</t>
  </si>
  <si>
    <t xml:space="preserve">EP-04</t>
  </si>
  <si>
    <t xml:space="preserve">US-018, US-019, US-020</t>
  </si>
  <si>
    <t xml:space="preserve">A-02, I-01, D-01</t>
  </si>
  <si>
    <t xml:space="preserve">BR-07</t>
  </si>
  <si>
    <t xml:space="preserve">Dispute reason codes and response windows can be updated without a code release, with a history of each change.</t>
  </si>
  <si>
    <t xml:space="preserve">Card network rule change risk (R-01); CR-02</t>
  </si>
  <si>
    <t xml:space="preserve">US-021, US-022</t>
  </si>
  <si>
    <t xml:space="preserve">CTL-06</t>
  </si>
  <si>
    <t xml:space="preserve">R-01, CR-02, I-02</t>
  </si>
  <si>
    <t xml:space="preserve">BR-08</t>
  </si>
  <si>
    <t xml:space="preserve">Ops are alerted when the processor feed stops updating, and merchants can see when data was last synced.</t>
  </si>
  <si>
    <t xml:space="preserve">Deadline risk review (R-03); CR-07</t>
  </si>
  <si>
    <t xml:space="preserve">US-010, US-023</t>
  </si>
  <si>
    <t xml:space="preserve">R-03, CR-07</t>
  </si>
  <si>
    <t xml:space="preserve">BR-09</t>
  </si>
  <si>
    <t xml:space="preserve">Merchants receive reminders before deadlines and notifications of dispute outcomes, and can opt out of emails.</t>
  </si>
  <si>
    <t xml:space="preserve">Merchant feedback; privacy review</t>
  </si>
  <si>
    <t xml:space="preserve">EP-05</t>
  </si>
  <si>
    <t xml:space="preserve">US-025, US-026</t>
  </si>
  <si>
    <t xml:space="preserve">CTL-04</t>
  </si>
  <si>
    <t xml:space="preserve">SMS reminders (CR-09) not included until assessed.</t>
  </si>
  <si>
    <t xml:space="preserve">BR-10</t>
  </si>
  <si>
    <t xml:space="preserve">Merchants can view settlements, including chargeback debits and reversals, and export them to CSV.</t>
  </si>
  <si>
    <t xml:space="preserve">Finance user interviews; CR-08</t>
  </si>
  <si>
    <t xml:space="preserve">Finance Lead</t>
  </si>
  <si>
    <t xml:space="preserve">EP-06</t>
  </si>
  <si>
    <t xml:space="preserve">US-028, US-029, US-030</t>
  </si>
  <si>
    <t xml:space="preserve">CTL-01</t>
  </si>
  <si>
    <t xml:space="preserve">D-04, CR-08</t>
  </si>
  <si>
    <t xml:space="preserve">BR-11</t>
  </si>
  <si>
    <t xml:space="preserve">Ops and finance report dispute outcomes and win rate using one agreed definition.</t>
  </si>
  <si>
    <t xml:space="preserve">Reporting workshop; I-05</t>
  </si>
  <si>
    <t xml:space="preserve">EP-07</t>
  </si>
  <si>
    <t xml:space="preserve">US-031, US-032</t>
  </si>
  <si>
    <t xml:space="preserve">I-05, CR-05</t>
  </si>
  <si>
    <t xml:space="preserve">Expected results for outcome tests will be finalized after the CR-05 decision.</t>
  </si>
  <si>
    <t xml:space="preserve">BR-12</t>
  </si>
  <si>
    <t xml:space="preserve">Settlement data reconciles to the finance ledger within 0.5% before merchant reports are released.</t>
  </si>
  <si>
    <t xml:space="preserve">Data quality risk (R-05)</t>
  </si>
  <si>
    <t xml:space="preserve">US-033</t>
  </si>
  <si>
    <t xml:space="preserve">R-05, D-04</t>
  </si>
  <si>
    <t xml:space="preserve">Analysis</t>
  </si>
  <si>
    <t xml:space="preserve">BR-13</t>
  </si>
  <si>
    <t xml:space="preserve">All evidence actions are recorded in an audit history that users can't edit.</t>
  </si>
  <si>
    <t xml:space="preserve">Internal audit policy</t>
  </si>
  <si>
    <t xml:space="preserve">US-004</t>
  </si>
  <si>
    <t xml:space="preserve">CTL-03</t>
  </si>
  <si>
    <t xml:space="preserve">A-07</t>
  </si>
  <si>
    <t xml:space="preserve">BR-14</t>
  </si>
  <si>
    <t xml:space="preserve">Evidence files are encrypted at rest and in transit.</t>
  </si>
  <si>
    <t xml:space="preserve">Security architecture review</t>
  </si>
  <si>
    <t xml:space="preserve">EP-09</t>
  </si>
  <si>
    <t xml:space="preserve">US-041</t>
  </si>
  <si>
    <t xml:space="preserve">CTL-02</t>
  </si>
  <si>
    <t xml:space="preserve">R-02, R-08</t>
  </si>
  <si>
    <t xml:space="preserve">Inspection</t>
  </si>
  <si>
    <t xml:space="preserve">BR-15</t>
  </si>
  <si>
    <t xml:space="preserve">Merchant portal screens meet WCAG 2.1 AA.</t>
  </si>
  <si>
    <t xml:space="preserve">Accessibility policy; R-10</t>
  </si>
  <si>
    <t xml:space="preserve">UX Designer</t>
  </si>
  <si>
    <t xml:space="preserve">US-042</t>
  </si>
  <si>
    <t xml:space="preserve">CTL-07</t>
  </si>
  <si>
    <t xml:space="preserve">R-10</t>
  </si>
  <si>
    <t xml:space="preserve">BR-16</t>
  </si>
  <si>
    <t xml:space="preserve">95th percentile API response stays under 2 seconds at 3x forecast peak volume.</t>
  </si>
  <si>
    <t xml:space="preserve">Capacity planning; R-09</t>
  </si>
  <si>
    <t xml:space="preserve">US-043</t>
  </si>
  <si>
    <t xml:space="preserve">R-09</t>
  </si>
  <si>
    <t xml:space="preserve">BR-17</t>
  </si>
  <si>
    <t xml:space="preserve">Critical and high penetration test findings are fixed and retested before go-live.</t>
  </si>
  <si>
    <t xml:space="preserve">Security go-live policy</t>
  </si>
  <si>
    <t xml:space="preserve">US-044</t>
  </si>
  <si>
    <t xml:space="preserve">CTL-08</t>
  </si>
  <si>
    <t xml:space="preserve">D-03, CR-06</t>
  </si>
  <si>
    <t xml:space="preserve">BR-18</t>
  </si>
  <si>
    <t xml:space="preserve">Dispute ops work disputes from a prioritized queue, including disputes with unmapped reason codes.</t>
  </si>
  <si>
    <t xml:space="preserve">Dispute ops process walkthrough; I-02</t>
  </si>
  <si>
    <t xml:space="preserve">EP-08</t>
  </si>
  <si>
    <t xml:space="preserve">US-035, US-022</t>
  </si>
  <si>
    <t xml:space="preserve">I-02</t>
  </si>
  <si>
    <t xml:space="preserve">BR-19</t>
  </si>
  <si>
    <t xml:space="preserve">Servicing agents can retrieve a merchant's dispute status through an API for their agent console.</t>
  </si>
  <si>
    <t xml:space="preserve">Customer servicing request; D-06</t>
  </si>
  <si>
    <t xml:space="preserve">US-024</t>
  </si>
  <si>
    <t xml:space="preserve">D-06</t>
  </si>
  <si>
    <t xml:space="preserve">BR-20</t>
  </si>
  <si>
    <t xml:space="preserve">Product team can measure pilot adoption without collecting personal or card data.</t>
  </si>
  <si>
    <t xml:space="preserve">Pilot success criteria; I-06</t>
  </si>
  <si>
    <t xml:space="preserve">US-034, US-005</t>
  </si>
  <si>
    <t xml:space="preserve">R-04, I-06</t>
  </si>
  <si>
    <t xml:space="preserve">BR-21</t>
  </si>
  <si>
    <t xml:space="preserve">Dispute reasons are shown in plain language with suggested evidence types.</t>
  </si>
  <si>
    <t xml:space="preserve">Merchant feedback in discovery</t>
  </si>
  <si>
    <t xml:space="preserve">US-007</t>
  </si>
  <si>
    <t xml:space="preserve">BR-22</t>
  </si>
  <si>
    <t xml:space="preserve">Evidence files are retained and deleted in line with the records retention policy.</t>
  </si>
  <si>
    <t xml:space="preserve">Records retention policy; A-07</t>
  </si>
  <si>
    <t xml:space="preserve">US-014</t>
  </si>
  <si>
    <t xml:space="preserve">Test cases to be written once A-07 confirms retention rules.</t>
  </si>
  <si>
    <t xml:space="preserve">BR-23</t>
  </si>
  <si>
    <t xml:space="preserve">Dispute ops can see a linked fraud case reference on a dispute.</t>
  </si>
  <si>
    <t xml:space="preserve">Fraud operations request; CR-01</t>
  </si>
  <si>
    <t xml:space="preserve">US-036</t>
  </si>
  <si>
    <t xml:space="preserve">CR-01, D-07</t>
  </si>
  <si>
    <t xml:space="preserve">Pending decision</t>
  </si>
  <si>
    <t xml:space="preserve">In scope only if CR-01 Option C is approved.</t>
  </si>
  <si>
    <t xml:space="preserve">BR-24</t>
  </si>
  <si>
    <t xml:space="preserve">Merchant portal is available in Spanish.</t>
  </si>
  <si>
    <t xml:space="preserve">Relationship team request; CR-04</t>
  </si>
  <si>
    <t xml:space="preserve">Won't (this release)</t>
  </si>
  <si>
    <t xml:space="preserve">US-046</t>
  </si>
  <si>
    <t xml:space="preserve">CR-04, A-04</t>
  </si>
  <si>
    <t xml:space="preserve">Deferred</t>
  </si>
  <si>
    <t xml:space="preserve">Deferred to Phase 2 via CR-04.</t>
  </si>
  <si>
    <t xml:space="preserve">Test Cases</t>
  </si>
  <si>
    <t xml:space="preserve">Merchant Payment Operations &amp; Dispute Hub · Simulation project · Detailed steps are held in the test management tool</t>
  </si>
  <si>
    <t xml:space="preserve">Test Case ID</t>
  </si>
  <si>
    <t xml:space="preserve">Story ID</t>
  </si>
  <si>
    <t xml:space="preserve">Test Type</t>
  </si>
  <si>
    <t xml:space="preserve">Test Phase</t>
  </si>
  <si>
    <t xml:space="preserve">Test Scenario</t>
  </si>
  <si>
    <t xml:space="preserve">Preconditions</t>
  </si>
  <si>
    <t xml:space="preserve">Expected Result</t>
  </si>
  <si>
    <t xml:space="preserve">Tester</t>
  </si>
  <si>
    <t xml:space="preserve">Execution Status</t>
  </si>
  <si>
    <t xml:space="preserve">Execution Date</t>
  </si>
  <si>
    <t xml:space="preserve">Environment</t>
  </si>
  <si>
    <t xml:space="preserve">Defect IDs</t>
  </si>
  <si>
    <t xml:space="preserve">TC-001</t>
  </si>
  <si>
    <t xml:space="preserve">US-006</t>
  </si>
  <si>
    <t xml:space="preserve">Inbox lists open disputes with key fields</t>
  </si>
  <si>
    <t xml:space="preserve">Merchant has at least 5 open disputes</t>
  </si>
  <si>
    <t xml:space="preserve">Each dispute shows ID, amount, reason, status and due date.</t>
  </si>
  <si>
    <t xml:space="preserve">QA Analyst</t>
  </si>
  <si>
    <t xml:space="preserve">TC-002</t>
  </si>
  <si>
    <t xml:space="preserve">Paging keeps sort order beyond 50 disputes</t>
  </si>
  <si>
    <t xml:space="preserve">Merchant has 120 open disputes sorted by due date</t>
  </si>
  <si>
    <t xml:space="preserve">Page 2 and later continue in due-date order with no repeats or gaps.</t>
  </si>
  <si>
    <t xml:space="preserve">DEF-01</t>
  </si>
  <si>
    <t xml:space="preserve">Failed on 14-Aug; passed on retest after DEF-01 fix.</t>
  </si>
  <si>
    <t xml:space="preserve">TC-003</t>
  </si>
  <si>
    <t xml:space="preserve">US-008</t>
  </si>
  <si>
    <t xml:space="preserve">Filter by status, reason and due date range</t>
  </si>
  <si>
    <t xml:space="preserve">Disputes exist across statuses and due dates</t>
  </si>
  <si>
    <t xml:space="preserve">Only disputes matching all filters are shown, including those due on the range end date.</t>
  </si>
  <si>
    <t xml:space="preserve">DEF-04</t>
  </si>
  <si>
    <t xml:space="preserve">Passed on retest after DEF-04 fix.</t>
  </si>
  <si>
    <t xml:space="preserve">TC-004</t>
  </si>
  <si>
    <t xml:space="preserve">US-009</t>
  </si>
  <si>
    <t xml:space="preserve">Dispute detail shows dated timeline</t>
  </si>
  <si>
    <t xml:space="preserve">Dispute has at least 3 status changes</t>
  </si>
  <si>
    <t xml:space="preserve">Timeline lists each status change with date in time order.</t>
  </si>
  <si>
    <t xml:space="preserve">TC-005</t>
  </si>
  <si>
    <t xml:space="preserve">US-011</t>
  </si>
  <si>
    <t xml:space="preserve">Disputes due within 2 days shown in red at top</t>
  </si>
  <si>
    <t xml:space="preserve">Disputes due in 1, 4 and 10 days</t>
  </si>
  <si>
    <t xml:space="preserve">1-day dispute red at top; 4-day dispute amber; 10-day dispute unhighlighted.</t>
  </si>
  <si>
    <t xml:space="preserve">Story in progress in Sprint 4.</t>
  </si>
  <si>
    <t xml:space="preserve">TC-006</t>
  </si>
  <si>
    <t xml:space="preserve">Merchant ops user finds and reviews disputes due this week</t>
  </si>
  <si>
    <t xml:space="preserve">Pilot merchant UAT account with masked data</t>
  </si>
  <si>
    <t xml:space="preserve">User identifies all disputes due within 7 days and opens each detail page without help.</t>
  </si>
  <si>
    <t xml:space="preserve">Merchant Ops (UAT)</t>
  </si>
  <si>
    <t xml:space="preserve">UAT scripts to be finalized in Sprint 8.</t>
  </si>
  <si>
    <t xml:space="preserve">TC-007</t>
  </si>
  <si>
    <t xml:space="preserve">US-001</t>
  </si>
  <si>
    <t xml:space="preserve">SSO sign-in lands on inbox</t>
  </si>
  <si>
    <t xml:space="preserve">Active merchant user in test identity provider</t>
  </si>
  <si>
    <t xml:space="preserve">User signs in through SSO and lands on the dispute inbox.</t>
  </si>
  <si>
    <t xml:space="preserve">TC-008</t>
  </si>
  <si>
    <t xml:space="preserve">Disabled account is denied and logged</t>
  </si>
  <si>
    <t xml:space="preserve">Merchant user disabled in identity provider</t>
  </si>
  <si>
    <t xml:space="preserve">Access denied; attempt recorded in security log with user and time.</t>
  </si>
  <si>
    <t xml:space="preserve">TC-009</t>
  </si>
  <si>
    <t xml:space="preserve">Regression</t>
  </si>
  <si>
    <t xml:space="preserve">Session expires after 15 minutes of inactivity</t>
  </si>
  <si>
    <t xml:space="preserve">Signed-in user idle on dispute detail page</t>
  </si>
  <si>
    <t xml:space="preserve">After 15 minutes idle, next action requires sign-in.</t>
  </si>
  <si>
    <t xml:space="preserve">DEF-02</t>
  </si>
  <si>
    <t xml:space="preserve">Found in Sprint 4 regression run.</t>
  </si>
  <si>
    <t xml:space="preserve">TC-010</t>
  </si>
  <si>
    <t xml:space="preserve">US-002</t>
  </si>
  <si>
    <t xml:space="preserve">Admin assigns role and permissions update</t>
  </si>
  <si>
    <t xml:space="preserve">Merchant admin and a newly invited user</t>
  </si>
  <si>
    <t xml:space="preserve">Invited user receives chosen role; permission change applies on next page load.</t>
  </si>
  <si>
    <t xml:space="preserve">Depends on D-02 role configuration.</t>
  </si>
  <si>
    <t xml:space="preserve">TC-011</t>
  </si>
  <si>
    <t xml:space="preserve">US-003</t>
  </si>
  <si>
    <t xml:space="preserve">Finance role can't submit evidence</t>
  </si>
  <si>
    <t xml:space="preserve">User with Finance role only</t>
  </si>
  <si>
    <t xml:space="preserve">Submit evidence action is hidden and the endpoint rejects direct calls.</t>
  </si>
  <si>
    <t xml:space="preserve">TC-012</t>
  </si>
  <si>
    <t xml:space="preserve">US-012</t>
  </si>
  <si>
    <t xml:space="preserve">Upload PDF, JPG and PNG files up to 10 MB</t>
  </si>
  <si>
    <t xml:space="preserve">Dispute awaiting evidence</t>
  </si>
  <si>
    <t xml:space="preserve">Files attach and list with name, size and upload time.</t>
  </si>
  <si>
    <t xml:space="preserve">TC-013</t>
  </si>
  <si>
    <t xml:space="preserve">Unsupported or oversize file rejected</t>
  </si>
  <si>
    <t xml:space="preserve">Dispute awaiting evidence; 12 MB file and .exe file</t>
  </si>
  <si>
    <t xml:space="preserve">Clear error shown for each file; nothing stored.</t>
  </si>
  <si>
    <t xml:space="preserve">TC-014</t>
  </si>
  <si>
    <t xml:space="preserve">US-015</t>
  </si>
  <si>
    <t xml:space="preserve">Submit evidence package to processor</t>
  </si>
  <si>
    <t xml:space="preserve">Dispute with evidence and response note; processor sandbox</t>
  </si>
  <si>
    <t xml:space="preserve">Package accepted by processor; status changes to 'Evidence submitted'; attachments read-only.</t>
  </si>
  <si>
    <t xml:space="preserve">TC-015</t>
  </si>
  <si>
    <t xml:space="preserve">Processor rejection shown and resubmission allowed</t>
  </si>
  <si>
    <t xml:space="preserve">Processor sandbox configured to reject submission</t>
  </si>
  <si>
    <t xml:space="preserve">Rejection reason shown; user corrects and resubmits successfully.</t>
  </si>
  <si>
    <t xml:space="preserve">TC-016</t>
  </si>
  <si>
    <t xml:space="preserve">Merchant uploads and submits evidence end to end</t>
  </si>
  <si>
    <t xml:space="preserve">Pilot merchant UAT account; dispute due in 3 days</t>
  </si>
  <si>
    <t xml:space="preserve">User submits evidence without help and sees confirmation before deadline.</t>
  </si>
  <si>
    <t xml:space="preserve">TC-017</t>
  </si>
  <si>
    <t xml:space="preserve">US-013</t>
  </si>
  <si>
    <t xml:space="preserve">Card numbers masked except last four digits</t>
  </si>
  <si>
    <t xml:space="preserve">Test files containing full card numbers in text and images</t>
  </si>
  <si>
    <t xml:space="preserve">Stored files show only last four digits of each card number.</t>
  </si>
  <si>
    <t xml:space="preserve">TC-018</t>
  </si>
  <si>
    <t xml:space="preserve">Only redacted version is accessible</t>
  </si>
  <si>
    <t xml:space="preserve">Redacted file stored for a dispute</t>
  </si>
  <si>
    <t xml:space="preserve">Users and APIs can retrieve only the redacted version; original isn't retained.</t>
  </si>
  <si>
    <t xml:space="preserve">TC-019</t>
  </si>
  <si>
    <t xml:space="preserve">Unprocessable file quarantined and merchant notified</t>
  </si>
  <si>
    <t xml:space="preserve">Corrupted image file</t>
  </si>
  <si>
    <t xml:space="preserve">File quarantined, not attached; merchant receives in-portal message and email.</t>
  </si>
  <si>
    <t xml:space="preserve">TC-020</t>
  </si>
  <si>
    <t xml:space="preserve">US-030</t>
  </si>
  <si>
    <t xml:space="preserve">CSV exports contain no full card numbers</t>
  </si>
  <si>
    <t xml:space="preserve">Disputes and settlements with card data in source</t>
  </si>
  <si>
    <t xml:space="preserve">Exported file contains no full card numbers in any column.</t>
  </si>
  <si>
    <t xml:space="preserve">TC-021</t>
  </si>
  <si>
    <t xml:space="preserve">InfoSec validates redaction accuracy</t>
  </si>
  <si>
    <t xml:space="preserve">Agreed InfoSec test set</t>
  </si>
  <si>
    <t xml:space="preserve">Detection accuracy meets the agreed threshold; InfoSec sign-off recorded.</t>
  </si>
  <si>
    <t xml:space="preserve">InfoSec</t>
  </si>
  <si>
    <t xml:space="preserve">Condition of CR-03; required before UAT sign-off.</t>
  </si>
  <si>
    <t xml:space="preserve">TC-022</t>
  </si>
  <si>
    <t xml:space="preserve">Accept dispute without contesting</t>
  </si>
  <si>
    <t xml:space="preserve">Open dispute; processor sandbox</t>
  </si>
  <si>
    <t xml:space="preserve">Acceptance sent to processor; status changes to 'Accepted'.</t>
  </si>
  <si>
    <t xml:space="preserve">TC-023</t>
  </si>
  <si>
    <t xml:space="preserve">Acceptance confirmation warns amount won't be recovered</t>
  </si>
  <si>
    <t xml:space="preserve">Open dispute</t>
  </si>
  <si>
    <t xml:space="preserve">Confirmation message states the dispute amount won't be recovered.</t>
  </si>
  <si>
    <t xml:space="preserve">TC-024</t>
  </si>
  <si>
    <t xml:space="preserve">US-018</t>
  </si>
  <si>
    <t xml:space="preserve">New disputes ingested with mandatory fields</t>
  </si>
  <si>
    <t xml:space="preserve">Processor sandbox with 20 new disputes</t>
  </si>
  <si>
    <t xml:space="preserve">20 disputes created with all mandatory fields populated.</t>
  </si>
  <si>
    <t xml:space="preserve">TC-025</t>
  </si>
  <si>
    <t xml:space="preserve">Re-received dispute creates no duplicate</t>
  </si>
  <si>
    <t xml:space="preserve">Dispute already ingested</t>
  </si>
  <si>
    <t xml:space="preserve">Second receipt updates nothing new and creates no duplicate.</t>
  </si>
  <si>
    <t xml:space="preserve">TC-026</t>
  </si>
  <si>
    <t xml:space="preserve">Invalid record routed to error queue</t>
  </si>
  <si>
    <t xml:space="preserve">Sandbox record missing merchant ID</t>
  </si>
  <si>
    <t xml:space="preserve">Record placed in error queue with validation reason logged.</t>
  </si>
  <si>
    <t xml:space="preserve">TC-027</t>
  </si>
  <si>
    <t xml:space="preserve">US-019</t>
  </si>
  <si>
    <t xml:space="preserve">Status webhook updates dispute within 5 minutes</t>
  </si>
  <si>
    <t xml:space="preserve">Processor sandbox webhook configured</t>
  </si>
  <si>
    <t xml:space="preserve">Dispute status and due date update within 5 minutes of the webhook.</t>
  </si>
  <si>
    <t xml:space="preserve">Blocked by inconsistent sandbox status values (I-01).</t>
  </si>
  <si>
    <t xml:space="preserve">TC-028</t>
  </si>
  <si>
    <t xml:space="preserve">Webhook with invalid signature rejected</t>
  </si>
  <si>
    <t xml:space="preserve">Webhook with tampered signature</t>
  </si>
  <si>
    <t xml:space="preserve">Webhook rejected and logged; dispute unchanged.</t>
  </si>
  <si>
    <t xml:space="preserve">TC-029</t>
  </si>
  <si>
    <t xml:space="preserve">US-020</t>
  </si>
  <si>
    <t xml:space="preserve">Status variants map to one internal status</t>
  </si>
  <si>
    <t xml:space="preserve">Sandbox sends UNDER_REVIEW and IN_REVIEW for the same stage</t>
  </si>
  <si>
    <t xml:space="preserve">Both variants map to internal status 'Under review'.</t>
  </si>
  <si>
    <t xml:space="preserve">DEF-03</t>
  </si>
  <si>
    <t xml:space="preserve">TC-030</t>
  </si>
  <si>
    <t xml:space="preserve">Unknown status keeps last status and alerts</t>
  </si>
  <si>
    <t xml:space="preserve">Sandbox sends an unrecognized status value</t>
  </si>
  <si>
    <t xml:space="preserve">Dispute keeps its previous status; alert raised to ops channel.</t>
  </si>
  <si>
    <t xml:space="preserve">TC-031</t>
  </si>
  <si>
    <t xml:space="preserve">US-021</t>
  </si>
  <si>
    <t xml:space="preserve">Updated response window applies without code change</t>
  </si>
  <si>
    <t xml:space="preserve">Reference data update for one reason code</t>
  </si>
  <si>
    <t xml:space="preserve">New disputes with that code use the updated window; no deployment needed.</t>
  </si>
  <si>
    <t xml:space="preserve">TC-032</t>
  </si>
  <si>
    <t xml:space="preserve">Reference data change history kept</t>
  </si>
  <si>
    <t xml:space="preserve">Reason code window changed twice</t>
  </si>
  <si>
    <t xml:space="preserve">Previous values, change dates and approvers are retrievable.</t>
  </si>
  <si>
    <t xml:space="preserve">TC-033</t>
  </si>
  <si>
    <t xml:space="preserve">US-022</t>
  </si>
  <si>
    <t xml:space="preserve">Unmapped reason code routes to manual review</t>
  </si>
  <si>
    <t xml:space="preserve">Dispute with reason code missing from mapping</t>
  </si>
  <si>
    <t xml:space="preserve">Dispute appears in manual review queue with unmapped-code flag.</t>
  </si>
  <si>
    <t xml:space="preserve">TC-034</t>
  </si>
  <si>
    <t xml:space="preserve">US-010</t>
  </si>
  <si>
    <t xml:space="preserve">Last synced timestamp shown in user time zone</t>
  </si>
  <si>
    <t xml:space="preserve">Users in two different time zones</t>
  </si>
  <si>
    <t xml:space="preserve">Timestamp shows correct local date and time for each user.</t>
  </si>
  <si>
    <t xml:space="preserve">TC-035</t>
  </si>
  <si>
    <t xml:space="preserve">Timestamp warning after 2 hours without sync</t>
  </si>
  <si>
    <t xml:space="preserve">Last sync set to 3 hours ago</t>
  </si>
  <si>
    <t xml:space="preserve">Timestamp highlighted with warning styling.</t>
  </si>
  <si>
    <t xml:space="preserve">TC-036</t>
  </si>
  <si>
    <t xml:space="preserve">US-023</t>
  </si>
  <si>
    <t xml:space="preserve">Ops alert after 2 hours without feed updates</t>
  </si>
  <si>
    <t xml:space="preserve">Feed paused during business hours</t>
  </si>
  <si>
    <t xml:space="preserve">Alert sent to ops channel after 2 hours; recovery message when feed resumes.</t>
  </si>
  <si>
    <t xml:space="preserve">TC-037</t>
  </si>
  <si>
    <t xml:space="preserve">US-025</t>
  </si>
  <si>
    <t xml:space="preserve">Reminders sent 5 and 2 days before due date</t>
  </si>
  <si>
    <t xml:space="preserve">Dispute with no evidence; Operations-role users</t>
  </si>
  <si>
    <t xml:space="preserve">Reminder emails sent at 5 and 2 days before due date only.</t>
  </si>
  <si>
    <t xml:space="preserve">TC-038</t>
  </si>
  <si>
    <t xml:space="preserve">Opted-out user skipped and opt-out recorded</t>
  </si>
  <si>
    <t xml:space="preserve">One Operations user opted out</t>
  </si>
  <si>
    <t xml:space="preserve">Opted-out user receives no reminder; opt-out date recorded.</t>
  </si>
  <si>
    <t xml:space="preserve">TC-039</t>
  </si>
  <si>
    <t xml:space="preserve">US-026</t>
  </si>
  <si>
    <t xml:space="preserve">Outcome notification to Finance and Admin users</t>
  </si>
  <si>
    <t xml:space="preserve">Dispute reaches final outcome</t>
  </si>
  <si>
    <t xml:space="preserve">Finance and Admin users get in-portal notification and email.</t>
  </si>
  <si>
    <t xml:space="preserve">TC-040</t>
  </si>
  <si>
    <t xml:space="preserve">US-028</t>
  </si>
  <si>
    <t xml:space="preserve">Settlement summary by payout date</t>
  </si>
  <si>
    <t xml:space="preserve">Settlement data loaded for 30 days</t>
  </si>
  <si>
    <t xml:space="preserve">Payout date, gross sales, fees, chargeback debits and net payout match source data.</t>
  </si>
  <si>
    <t xml:space="preserve">TC-041</t>
  </si>
  <si>
    <t xml:space="preserve">US-029</t>
  </si>
  <si>
    <t xml:space="preserve">Chargeback debit and later reversal linked</t>
  </si>
  <si>
    <t xml:space="preserve">Dispute debited then won</t>
  </si>
  <si>
    <t xml:space="preserve">Debit shown on original payout; reversal on later payout, both linked to the dispute.</t>
  </si>
  <si>
    <t xml:space="preserve">TC-042</t>
  </si>
  <si>
    <t xml:space="preserve">CSV export matches filtered view</t>
  </si>
  <si>
    <t xml:space="preserve">Filters applied on settlement list</t>
  </si>
  <si>
    <t xml:space="preserve">CSV contains exactly the filtered rows and visible columns.</t>
  </si>
  <si>
    <t xml:space="preserve">TC-043</t>
  </si>
  <si>
    <t xml:space="preserve">US-032</t>
  </si>
  <si>
    <t xml:space="preserve">Each closed dispute counted in one outcome category</t>
  </si>
  <si>
    <t xml:space="preserve">Closed disputes including partial reversals</t>
  </si>
  <si>
    <t xml:space="preserve">Every closed dispute appears in exactly one outcome category; totals match closed count.</t>
  </si>
  <si>
    <t xml:space="preserve">Expected result to be confirmed after CR-05 decision.</t>
  </si>
  <si>
    <t xml:space="preserve">TC-044</t>
  </si>
  <si>
    <t xml:space="preserve">US-031</t>
  </si>
  <si>
    <t xml:space="preserve">Ops lead validates dashboard against source data</t>
  </si>
  <si>
    <t xml:space="preserve">Dashboard refreshed with UAT data</t>
  </si>
  <si>
    <t xml:space="preserve">Volumes and ageing bands match source extract for sample week.</t>
  </si>
  <si>
    <t xml:space="preserve">Dispute Ops (UAT)</t>
  </si>
  <si>
    <t xml:space="preserve">TC-045</t>
  </si>
  <si>
    <t xml:space="preserve">Data</t>
  </si>
  <si>
    <t xml:space="preserve">Sample month reconciles to finance ledger</t>
  </si>
  <si>
    <t xml:space="preserve">Sample month loaded; ledger extract from finance</t>
  </si>
  <si>
    <t xml:space="preserve">Variance between report and ledger is within 0.5%.</t>
  </si>
  <si>
    <t xml:space="preserve">Data Analyst</t>
  </si>
  <si>
    <t xml:space="preserve">TC-046</t>
  </si>
  <si>
    <t xml:space="preserve">Records failing quality rules listed with rule</t>
  </si>
  <si>
    <t xml:space="preserve">Seeded duplicates and missing merchant IDs</t>
  </si>
  <si>
    <t xml:space="preserve">Each seeded record appears in exception report with the failed rule.</t>
  </si>
  <si>
    <t xml:space="preserve">TC-047</t>
  </si>
  <si>
    <t xml:space="preserve">Evidence actions recorded in audit history</t>
  </si>
  <si>
    <t xml:space="preserve">User uploads, deletes and submits evidence</t>
  </si>
  <si>
    <t xml:space="preserve">Each action logged with user, time, dispute ID and action.</t>
  </si>
  <si>
    <t xml:space="preserve">TC-048</t>
  </si>
  <si>
    <t xml:space="preserve">Audit records can't be edited</t>
  </si>
  <si>
    <t xml:space="preserve">Existing audit records; admin user</t>
  </si>
  <si>
    <t xml:space="preserve">No user or API can modify or delete audit records.</t>
  </si>
  <si>
    <t xml:space="preserve">TC-049</t>
  </si>
  <si>
    <t xml:space="preserve">Stored evidence encrypted with approved key service</t>
  </si>
  <si>
    <t xml:space="preserve">Evidence file uploaded</t>
  </si>
  <si>
    <t xml:space="preserve">Storage configuration review confirms encryption at rest with approved keys.</t>
  </si>
  <si>
    <t xml:space="preserve">TC-050</t>
  </si>
  <si>
    <t xml:space="preserve">File transfers use TLS 1.2 or higher</t>
  </si>
  <si>
    <t xml:space="preserve">Transfer to processor sandbox</t>
  </si>
  <si>
    <t xml:space="preserve">Connection scan shows TLS 1.2 or higher; weaker protocols refused.</t>
  </si>
  <si>
    <t xml:space="preserve">TC-051</t>
  </si>
  <si>
    <t xml:space="preserve">Accessibility</t>
  </si>
  <si>
    <t xml:space="preserve">WCAG 2.1 AA audit of MVP screens</t>
  </si>
  <si>
    <t xml:space="preserve">All MVP screens in UAT build</t>
  </si>
  <si>
    <t xml:space="preserve">No critical or serious WCAG 2.1 AA issues remain.</t>
  </si>
  <si>
    <t xml:space="preserve">Accessibility Specialist</t>
  </si>
  <si>
    <t xml:space="preserve">TC-052</t>
  </si>
  <si>
    <t xml:space="preserve">Keyboard-only upload and submit flow</t>
  </si>
  <si>
    <t xml:space="preserve">Keyboard only, screen reader on</t>
  </si>
  <si>
    <t xml:space="preserve">Every step in upload and submit can be reached and completed.</t>
  </si>
  <si>
    <t xml:space="preserve">TC-053</t>
  </si>
  <si>
    <t xml:space="preserve">Performance</t>
  </si>
  <si>
    <t xml:space="preserve">Load test at 3x forecast peak for 60 minutes</t>
  </si>
  <si>
    <t xml:space="preserve">Performance environment sized like production</t>
  </si>
  <si>
    <t xml:space="preserve">95th percentile API response under 2 seconds throughout.</t>
  </si>
  <si>
    <t xml:space="preserve">Performance Engineer</t>
  </si>
  <si>
    <t xml:space="preserve">Perf</t>
  </si>
  <si>
    <t xml:space="preserve">TC-054</t>
  </si>
  <si>
    <t xml:space="preserve">Retest critical and high pen test findings</t>
  </si>
  <si>
    <t xml:space="preserve">Pen test report issued; fixes deployed</t>
  </si>
  <si>
    <t xml:space="preserve">All critical and high findings retested and closed by InfoSec.</t>
  </si>
  <si>
    <t xml:space="preserve">Depends on pen test date (D-03).</t>
  </si>
  <si>
    <t xml:space="preserve">TC-055</t>
  </si>
  <si>
    <t xml:space="preserve">US-035</t>
  </si>
  <si>
    <t xml:space="preserve">Ops queue lists disputes needing action by due date</t>
  </si>
  <si>
    <t xml:space="preserve">Disputes with failed submissions and manual review flags</t>
  </si>
  <si>
    <t xml:space="preserve">Queue shows only disputes needing action, ordered by due date with reason.</t>
  </si>
  <si>
    <t xml:space="preserve">TC-056</t>
  </si>
  <si>
    <t xml:space="preserve">Assigned dispute visible to other analysts</t>
  </si>
  <si>
    <t xml:space="preserve">Two analyst accounts</t>
  </si>
  <si>
    <t xml:space="preserve">Dispute assigned by one analyst shows as assigned for the other.</t>
  </si>
  <si>
    <t xml:space="preserve">TC-062</t>
  </si>
  <si>
    <t xml:space="preserve">Analyst resolves a dispute from the manual review queue</t>
  </si>
  <si>
    <t xml:space="preserve">Dispute flagged for unmapped reason code</t>
  </si>
  <si>
    <t xml:space="preserve">Analyst assigns a category; dispute leaves the manual review queue and routes normally.</t>
  </si>
  <si>
    <t xml:space="preserve">TC-057</t>
  </si>
  <si>
    <t xml:space="preserve">Agent retrieves dispute status within 2 seconds</t>
  </si>
  <si>
    <t xml:space="preserve">Authorized servicing test client</t>
  </si>
  <si>
    <t xml:space="preserve">Status, due date and last update returned within 2 seconds.</t>
  </si>
  <si>
    <t xml:space="preserve">TC-058</t>
  </si>
  <si>
    <t xml:space="preserve">Unauthorized API caller denied and logged</t>
  </si>
  <si>
    <t xml:space="preserve">Client without servicing scope</t>
  </si>
  <si>
    <t xml:space="preserve">Request denied and logged.</t>
  </si>
  <si>
    <t xml:space="preserve">TC-059</t>
  </si>
  <si>
    <t xml:space="preserve">US-034</t>
  </si>
  <si>
    <t xml:space="preserve">Tracked events contain no personal or card data</t>
  </si>
  <si>
    <t xml:space="preserve">Approved tracking plan</t>
  </si>
  <si>
    <t xml:space="preserve">Captured events contain only approved properties; no personal or card data.</t>
  </si>
  <si>
    <t xml:space="preserve">Blocked until tracking plan is approved (I-06).</t>
  </si>
  <si>
    <t xml:space="preserve">TC-060</t>
  </si>
  <si>
    <t xml:space="preserve">Plain-language reason and evidence types shown</t>
  </si>
  <si>
    <t xml:space="preserve">Disputes with mapped reason codes</t>
  </si>
  <si>
    <t xml:space="preserve">Plain-language description and suggested evidence types shown.</t>
  </si>
  <si>
    <t xml:space="preserve">TC-061</t>
  </si>
  <si>
    <t xml:space="preserve">Unmapped code shows 'description pending'</t>
  </si>
  <si>
    <t xml:space="preserve">Dispute with code lacking description</t>
  </si>
  <si>
    <t xml:space="preserve">Raw code shown with 'description pending' label.</t>
  </si>
  <si>
    <t xml:space="preserve">Compliance Controls</t>
  </si>
  <si>
    <t xml:space="preserve">Merchant Payment Operations &amp; Dispute Hub · Simulation project · Frameworks are summarized; confirm exact clause references with the client's compliance team</t>
  </si>
  <si>
    <t xml:space="preserve">Control Objective</t>
  </si>
  <si>
    <t xml:space="preserve">Linked Requirements</t>
  </si>
  <si>
    <t xml:space="preserve">Evidence Required</t>
  </si>
  <si>
    <t xml:space="preserve">Evidence Location</t>
  </si>
  <si>
    <t xml:space="preserve">Control Owner</t>
  </si>
  <si>
    <t xml:space="preserve">Assurance Status</t>
  </si>
  <si>
    <t xml:space="preserve">Compliance Sign-off</t>
  </si>
  <si>
    <t xml:space="preserve">PCI DSS</t>
  </si>
  <si>
    <t xml:space="preserve">Stored and displayed card numbers are unreadable except for the last four digits.</t>
  </si>
  <si>
    <t xml:space="preserve">BR-04, BR-10</t>
  </si>
  <si>
    <t xml:space="preserve">Redaction test results; InfoSec validation report; export sample review</t>
  </si>
  <si>
    <t xml:space="preserve">Test management tool; Compliance SharePoint</t>
  </si>
  <si>
    <t xml:space="preserve">Map to exact PCI DSS requirement numbers with the client's compliance team or QSA.</t>
  </si>
  <si>
    <t xml:space="preserve">PCI DSS / Security Policy</t>
  </si>
  <si>
    <t xml:space="preserve">Cardholder and merchant data is encrypted at rest and in transit.</t>
  </si>
  <si>
    <t xml:space="preserve">BR-04, BR-14</t>
  </si>
  <si>
    <t xml:space="preserve">Encryption configuration review; TLS scan results</t>
  </si>
  <si>
    <t xml:space="preserve">Security evidence repository</t>
  </si>
  <si>
    <t xml:space="preserve">InfoSec Lead</t>
  </si>
  <si>
    <t xml:space="preserve">Internal Audit Policy</t>
  </si>
  <si>
    <t xml:space="preserve">User actions on evidence are logged and protected from alteration.</t>
  </si>
  <si>
    <t xml:space="preserve">Audit log test results; log retention configuration</t>
  </si>
  <si>
    <t xml:space="preserve">Test management tool</t>
  </si>
  <si>
    <t xml:space="preserve">Data Privacy</t>
  </si>
  <si>
    <t xml:space="preserve">Personal data is minimized in analytics and communications, and email opt-outs are honored and recorded.</t>
  </si>
  <si>
    <t xml:space="preserve">BR-09, BR-20</t>
  </si>
  <si>
    <t xml:space="preserve">Tracking plan privacy review; opt-out test results</t>
  </si>
  <si>
    <t xml:space="preserve">Data governance register</t>
  </si>
  <si>
    <t xml:space="preserve">Data Protection Lead</t>
  </si>
  <si>
    <t xml:space="preserve">Linked to I-06 tracking plan approval.</t>
  </si>
  <si>
    <t xml:space="preserve">Access Control Policy</t>
  </si>
  <si>
    <t xml:space="preserve">Access follows least privilege by role; denied access attempts are logged.</t>
  </si>
  <si>
    <t xml:space="preserve">BR-02, BR-19</t>
  </si>
  <si>
    <t xml:space="preserve">Role permission matrix; access test results; IAM configuration export</t>
  </si>
  <si>
    <t xml:space="preserve">Test management tool; IAM change records</t>
  </si>
  <si>
    <t xml:space="preserve">Card Network Rules</t>
  </si>
  <si>
    <t xml:space="preserve">Dispute reason codes and response windows are kept current, with an approved change history.</t>
  </si>
  <si>
    <t xml:space="preserve">BR-07, BR-21</t>
  </si>
  <si>
    <t xml:space="preserve">Reference data change log; network bulletin review record</t>
  </si>
  <si>
    <t xml:space="preserve">Dispute ops SharePoint</t>
  </si>
  <si>
    <t xml:space="preserve">Accessibility (WCAG 2.1 AA)</t>
  </si>
  <si>
    <t xml:space="preserve">Customer-facing screens conform to WCAG 2.1 AA.</t>
  </si>
  <si>
    <t xml:space="preserve">Accessibility audit report; remediation log</t>
  </si>
  <si>
    <t xml:space="preserve">UX team repository</t>
  </si>
  <si>
    <t xml:space="preserve">Security Testing Policy</t>
  </si>
  <si>
    <t xml:space="preserve">An independent penetration test is completed and critical/high findings are remediated before go-live.</t>
  </si>
  <si>
    <t xml:space="preserve">Pen test report; retest confirmation; risk acceptances for open medium/low findings</t>
  </si>
  <si>
    <t xml:space="preserve">Timing depends on D-03 and CR-06.</t>
  </si>
  <si>
    <t xml:space="preserve">Records Retention Policy</t>
  </si>
  <si>
    <t xml:space="preserve">Evidence files are retained and deleted according to the approved retention schedule.</t>
  </si>
  <si>
    <t xml:space="preserve">BR-03, BR-22</t>
  </si>
  <si>
    <t xml:space="preserve">Retention configuration; deletion job test results; legal confirmation</t>
  </si>
  <si>
    <t xml:space="preserve">Legal &amp; Compliance SharePoint</t>
  </si>
  <si>
    <t xml:space="preserve">Legal Counsel</t>
  </si>
  <si>
    <t xml:space="preserve">Retention rules pending A-07; no test cases yet.</t>
  </si>
  <si>
    <t xml:space="preserve">Defect Log</t>
  </si>
  <si>
    <t xml:space="preserve">Merchant Payment Operations &amp; Dispute Hub · Simulation project · Defects found during test execution</t>
  </si>
  <si>
    <t xml:space="preserve">Defect ID</t>
  </si>
  <si>
    <t xml:space="preserve">Title</t>
  </si>
  <si>
    <t xml:space="preserve">Description</t>
  </si>
  <si>
    <t xml:space="preserve">Severity</t>
  </si>
  <si>
    <t xml:space="preserve">Raised Date</t>
  </si>
  <si>
    <t xml:space="preserve">Raised By</t>
  </si>
  <si>
    <t xml:space="preserve">Owner Team</t>
  </si>
  <si>
    <t xml:space="preserve">Target Sprint</t>
  </si>
  <si>
    <t xml:space="preserve">Closed Date</t>
  </si>
  <si>
    <t xml:space="preserve">Days Open / to Close</t>
  </si>
  <si>
    <t xml:space="preserve">Resolution Notes</t>
  </si>
  <si>
    <t xml:space="preserve">Linked RAID / Control</t>
  </si>
  <si>
    <t xml:space="preserve">Inbox loses sort order after page 2</t>
  </si>
  <si>
    <t xml:space="preserve">When paging beyond 50 disputes, results revert to default order instead of due-date sort.</t>
  </si>
  <si>
    <t xml:space="preserve">Medium</t>
  </si>
  <si>
    <t xml:space="preserve">Closed</t>
  </si>
  <si>
    <t xml:space="preserve">Portal Squad</t>
  </si>
  <si>
    <t xml:space="preserve">Sprint 3</t>
  </si>
  <si>
    <t xml:space="preserve">Sort parameter now passed to paged requests; TC-002 passed on retest.</t>
  </si>
  <si>
    <t xml:space="preserve">Session doesn't expire on dispute detail page</t>
  </si>
  <si>
    <t xml:space="preserve">After a background token refresh, idle users on the dispute detail page stay signed in beyond 15 minutes.</t>
  </si>
  <si>
    <t xml:space="preserve">High</t>
  </si>
  <si>
    <t xml:space="preserve">Open</t>
  </si>
  <si>
    <t xml:space="preserve">Sprint 5</t>
  </si>
  <si>
    <t xml:space="preserve">IN_REVIEW status variant maps to Closed</t>
  </si>
  <si>
    <t xml:space="preserve">Sandbox status IN_REVIEW is mapped to internal status 'Closed' instead of 'Under review', so merchants could see an open dispute as closed.</t>
  </si>
  <si>
    <t xml:space="preserve">In Progress</t>
  </si>
  <si>
    <t xml:space="preserve">Integration Squad</t>
  </si>
  <si>
    <t xml:space="preserve">Sprint 4</t>
  </si>
  <si>
    <t xml:space="preserve">Fix in progress as part of US-020 review.</t>
  </si>
  <si>
    <t xml:space="preserve">I-01</t>
  </si>
  <si>
    <t xml:space="preserve">Due date filter excludes end date</t>
  </si>
  <si>
    <t xml:space="preserve">Disputes due on the last day of the selected range are not returned by the filter.</t>
  </si>
  <si>
    <t xml:space="preserve">Date range filter changed to include end date; TC-003 passed on retest.</t>
  </si>
</sst>
</file>

<file path=xl/styles.xml><?xml version="1.0" encoding="utf-8"?>
<styleSheet xmlns="http://schemas.openxmlformats.org/spreadsheetml/2006/main">
  <numFmts count="4">
    <numFmt numFmtId="164" formatCode="General"/>
    <numFmt numFmtId="165" formatCode="dd\-mmm\-yyyy"/>
    <numFmt numFmtId="166" formatCode="General"/>
    <numFmt numFmtId="167" formatCode="0%"/>
  </numFmts>
  <fonts count="20">
    <font>
      <sz val="11"/>
      <color theme="1"/>
      <name val="Calibri"/>
      <family val="2"/>
      <charset val="1"/>
    </font>
    <font>
      <sz val="10"/>
      <name val="Arial"/>
      <family val="0"/>
    </font>
    <font>
      <sz val="10"/>
      <name val="Arial"/>
      <family val="0"/>
    </font>
    <font>
      <sz val="10"/>
      <name val="Arial"/>
      <family val="0"/>
    </font>
    <font>
      <b val="true"/>
      <sz val="22"/>
      <color rgb="FF1F3A5F"/>
      <name val="Arial"/>
      <family val="0"/>
      <charset val="1"/>
    </font>
    <font>
      <b val="true"/>
      <sz val="14"/>
      <color rgb="FF2E7D8C"/>
      <name val="Arial"/>
      <family val="0"/>
      <charset val="1"/>
    </font>
    <font>
      <b val="true"/>
      <sz val="10"/>
      <color rgb="FF1F3A5F"/>
      <name val="Arial"/>
      <family val="0"/>
      <charset val="1"/>
    </font>
    <font>
      <sz val="10"/>
      <color rgb="FF000000"/>
      <name val="Arial"/>
      <family val="0"/>
      <charset val="1"/>
    </font>
    <font>
      <i val="true"/>
      <sz val="10"/>
      <color rgb="FF9C0006"/>
      <name val="Arial"/>
      <family val="0"/>
      <charset val="1"/>
    </font>
    <font>
      <b val="true"/>
      <sz val="12"/>
      <color rgb="FFFFFFFF"/>
      <name val="Arial"/>
      <family val="0"/>
      <charset val="1"/>
    </font>
    <font>
      <b val="true"/>
      <sz val="10"/>
      <color rgb="FF000000"/>
      <name val="Arial"/>
      <family val="0"/>
      <charset val="1"/>
    </font>
    <font>
      <b val="true"/>
      <sz val="18"/>
      <color rgb="FF1F3A5F"/>
      <name val="Arial"/>
      <family val="0"/>
      <charset val="1"/>
    </font>
    <font>
      <i val="true"/>
      <sz val="10"/>
      <color rgb="FF595959"/>
      <name val="Arial"/>
      <family val="0"/>
      <charset val="1"/>
    </font>
    <font>
      <b val="true"/>
      <sz val="14"/>
      <color rgb="FF1F3A5F"/>
      <name val="Arial"/>
      <family val="0"/>
      <charset val="1"/>
    </font>
    <font>
      <b val="true"/>
      <sz val="14"/>
      <color rgb="FF9C0006"/>
      <name val="Arial"/>
      <family val="0"/>
      <charset val="1"/>
    </font>
    <font>
      <b val="true"/>
      <sz val="18"/>
      <color rgb="FF000000"/>
      <name val="Calibri"/>
      <family val="2"/>
    </font>
    <font>
      <sz val="10"/>
      <color rgb="FF000000"/>
      <name val="Calibri"/>
      <family val="2"/>
    </font>
    <font>
      <b val="true"/>
      <sz val="16"/>
      <color rgb="FF1F3A5F"/>
      <name val="Arial"/>
      <family val="0"/>
      <charset val="1"/>
    </font>
    <font>
      <i val="true"/>
      <sz val="9"/>
      <color rgb="FF7F7F7F"/>
      <name val="Arial"/>
      <family val="0"/>
      <charset val="1"/>
    </font>
    <font>
      <b val="true"/>
      <sz val="10"/>
      <color rgb="FFFFFFFF"/>
      <name val="Arial"/>
      <family val="0"/>
      <charset val="1"/>
    </font>
  </fonts>
  <fills count="6">
    <fill>
      <patternFill patternType="none"/>
    </fill>
    <fill>
      <patternFill patternType="gray125"/>
    </fill>
    <fill>
      <patternFill patternType="solid">
        <fgColor rgb="FF1F3A5F"/>
        <bgColor rgb="FF1F4E78"/>
      </patternFill>
    </fill>
    <fill>
      <patternFill patternType="solid">
        <fgColor rgb="FFD9D9D9"/>
        <bgColor rgb="FFDDEBF7"/>
      </patternFill>
    </fill>
    <fill>
      <patternFill patternType="solid">
        <fgColor rgb="FFF2F2F2"/>
        <bgColor rgb="FFEDEDED"/>
      </patternFill>
    </fill>
    <fill>
      <patternFill patternType="solid">
        <fgColor rgb="FF2E7D8C"/>
        <bgColor rgb="FF008080"/>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true" applyAlignment="true" applyProtection="false">
      <alignment horizontal="left" vertical="top" textRotation="0" wrapText="true" indent="0" shrinkToFit="false"/>
      <protection locked="true" hidden="false"/>
    </xf>
    <xf numFmtId="165" fontId="7" fillId="0" borderId="0" xfId="0" applyFont="true" applyBorder="true" applyAlignment="true" applyProtection="false">
      <alignment horizontal="left" vertical="top" textRotation="0" wrapText="true" indent="0" shrinkToFit="false"/>
      <protection locked="true" hidden="false"/>
    </xf>
    <xf numFmtId="164" fontId="8" fillId="0" borderId="0" xfId="0" applyFont="true" applyBorder="true" applyAlignment="true" applyProtection="false">
      <alignment horizontal="left" vertical="top" textRotation="0" wrapText="tru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10" fillId="3" borderId="1" xfId="0" applyFont="true" applyBorder="true" applyAlignment="true" applyProtection="false">
      <alignment horizontal="center" vertical="center"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center" vertical="top" textRotation="0" wrapText="true" indent="0" shrinkToFit="false"/>
      <protection locked="true" hidden="false"/>
    </xf>
    <xf numFmtId="165" fontId="7" fillId="0" borderId="1" xfId="0" applyFont="true" applyBorder="true" applyAlignment="true" applyProtection="false">
      <alignment horizontal="center"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6" fontId="13" fillId="0" borderId="1" xfId="0" applyFont="true" applyBorder="true" applyAlignment="true" applyProtection="false">
      <alignment horizontal="center" vertical="center" textRotation="0" wrapText="true" indent="0" shrinkToFit="false"/>
      <protection locked="true" hidden="false"/>
    </xf>
    <xf numFmtId="167" fontId="13" fillId="0" borderId="1" xfId="0" applyFont="true" applyBorder="true" applyAlignment="true" applyProtection="false">
      <alignment horizontal="center" vertical="center" textRotation="0" wrapText="true" indent="0" shrinkToFit="false"/>
      <protection locked="true" hidden="false"/>
    </xf>
    <xf numFmtId="166" fontId="14" fillId="0" borderId="1" xfId="0" applyFont="true" applyBorder="true" applyAlignment="true" applyProtection="false">
      <alignment horizontal="center" vertical="center" textRotation="0" wrapText="true" indent="0" shrinkToFit="false"/>
      <protection locked="true" hidden="false"/>
    </xf>
    <xf numFmtId="166" fontId="7" fillId="0" borderId="1" xfId="0" applyFont="true" applyBorder="true" applyAlignment="true" applyProtection="false">
      <alignment horizontal="center" vertical="top" textRotation="0" wrapText="true" indent="0" shrinkToFit="false"/>
      <protection locked="true" hidden="false"/>
    </xf>
    <xf numFmtId="167" fontId="7" fillId="0" borderId="1" xfId="0" applyFont="true" applyBorder="true" applyAlignment="true" applyProtection="false">
      <alignment horizontal="center" vertical="top" textRotation="0" wrapText="true" indent="0" shrinkToFit="false"/>
      <protection locked="true" hidden="false"/>
    </xf>
    <xf numFmtId="166" fontId="10" fillId="4" borderId="1" xfId="0" applyFont="true" applyBorder="true" applyAlignment="true" applyProtection="false">
      <alignment horizontal="center" vertical="top" textRotation="0" wrapText="true" indent="0" shrinkToFit="false"/>
      <protection locked="true" hidden="false"/>
    </xf>
    <xf numFmtId="167" fontId="10" fillId="4" borderId="1" xfId="0" applyFont="true" applyBorder="true" applyAlignment="true" applyProtection="false">
      <alignment horizontal="center" vertical="top" textRotation="0" wrapText="tru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9" fillId="2" borderId="1" xfId="0" applyFont="true" applyBorder="true" applyAlignment="true" applyProtection="false">
      <alignment horizontal="center" vertical="center" textRotation="0" wrapText="true" indent="0" shrinkToFit="false"/>
      <protection locked="true" hidden="false"/>
    </xf>
    <xf numFmtId="164" fontId="19" fillId="5" borderId="1" xfId="0" applyFont="true" applyBorder="true" applyAlignment="true" applyProtection="false">
      <alignment horizontal="center" vertical="center" textRotation="0" wrapText="true" indent="0" shrinkToFit="false"/>
      <protection locked="true" hidden="false"/>
    </xf>
    <xf numFmtId="166" fontId="7" fillId="4" borderId="1" xfId="0" applyFont="true" applyBorder="true" applyAlignment="true" applyProtection="false">
      <alignment horizontal="center" vertical="top" textRotation="0" wrapText="true" indent="0" shrinkToFit="false"/>
      <protection locked="true" hidden="false"/>
    </xf>
    <xf numFmtId="164" fontId="7" fillId="4" borderId="1" xfId="0" applyFont="true" applyBorder="true" applyAlignment="true" applyProtection="false">
      <alignment horizontal="center" vertical="top" textRotation="0" wrapText="true" indent="0" shrinkToFit="false"/>
      <protection locked="true" hidden="false"/>
    </xf>
    <xf numFmtId="164" fontId="7" fillId="4"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1">
    <dxf>
      <font>
        <name val="Arial"/>
        <charset val="1"/>
        <family val="0"/>
        <b val="1"/>
        <color rgb="FF006100"/>
        <sz val="10"/>
      </font>
      <fill>
        <patternFill>
          <bgColor rgb="FFC6EFCE"/>
        </patternFill>
      </fill>
    </dxf>
    <dxf>
      <font>
        <name val="Arial"/>
        <charset val="1"/>
        <family val="0"/>
        <b val="1"/>
        <color rgb="FF1F4E78"/>
        <sz val="10"/>
      </font>
      <fill>
        <patternFill>
          <bgColor rgb="FFDDEBF7"/>
        </patternFill>
      </fill>
    </dxf>
    <dxf>
      <font>
        <name val="Arial"/>
        <charset val="1"/>
        <family val="0"/>
        <b val="1"/>
        <color rgb="FF595959"/>
        <sz val="10"/>
      </font>
      <fill>
        <patternFill>
          <bgColor rgb="FFEDEDED"/>
        </patternFill>
      </fill>
    </dxf>
    <dxf>
      <font>
        <name val="Arial"/>
        <charset val="1"/>
        <family val="0"/>
        <b val="1"/>
        <color rgb="FF9C5700"/>
        <sz val="10"/>
      </font>
      <fill>
        <patternFill>
          <bgColor rgb="FFFFEB9C"/>
        </patternFill>
      </fill>
    </dxf>
    <dxf>
      <font>
        <name val="Arial"/>
        <charset val="1"/>
        <family val="0"/>
        <b val="1"/>
        <color rgb="FF9C0006"/>
        <sz val="10"/>
      </font>
      <fill>
        <patternFill>
          <bgColor rgb="FFFFC7CE"/>
        </patternFill>
      </fill>
    </dxf>
    <dxf>
      <fill>
        <patternFill patternType="solid">
          <fgColor rgb="FF1F3A5F"/>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2E7D8C"/>
          <bgColor rgb="FF000000"/>
        </patternFill>
      </fill>
    </dxf>
    <dxf>
      <fill>
        <patternFill patternType="solid">
          <fgColor rgb="FFF2F2F2"/>
          <bgColor rgb="FF000000"/>
        </patternFill>
      </fill>
    </dxf>
    <dxf>
      <fill>
        <patternFill patternType="solid">
          <fgColor rgb="FFFFC7CE"/>
          <bgColor rgb="FF000000"/>
        </patternFill>
      </fill>
    </dxf>
    <dxf>
      <fill>
        <patternFill patternType="solid">
          <fgColor rgb="FF9C0006"/>
          <bgColor rgb="FF000000"/>
        </patternFill>
      </fill>
    </dxf>
    <dxf>
      <fill>
        <patternFill patternType="solid">
          <fgColor rgb="FFC6EFCE"/>
          <bgColor rgb="FF000000"/>
        </patternFill>
      </fill>
    </dxf>
    <dxf>
      <fill>
        <patternFill patternType="solid">
          <fgColor rgb="FFDDEBF7"/>
          <bgColor rgb="FF000000"/>
        </patternFill>
      </fill>
    </dxf>
    <dxf>
      <fill>
        <patternFill patternType="solid">
          <fgColor rgb="FFEDEDED"/>
          <bgColor rgb="FF000000"/>
        </patternFill>
      </fill>
    </dxf>
    <dxf>
      <fill>
        <patternFill patternType="solid">
          <fgColor rgb="FFFFEB9C"/>
          <bgColor rgb="FF000000"/>
        </patternFill>
      </fill>
    </dxf>
    <dxf>
      <fill>
        <patternFill patternType="solid">
          <fgColor rgb="FF006100"/>
          <bgColor rgb="FF000000"/>
        </patternFill>
      </fill>
    </dxf>
    <dxf>
      <fill>
        <patternFill patternType="solid">
          <fgColor rgb="FF1F4E78"/>
          <bgColor rgb="FF000000"/>
        </patternFill>
      </fill>
    </dxf>
    <dxf>
      <fill>
        <patternFill patternType="solid">
          <fgColor rgb="FF595959"/>
          <bgColor rgb="FF000000"/>
        </patternFill>
      </fill>
    </dxf>
    <dxf>
      <fill>
        <patternFill patternType="solid">
          <fgColor rgb="FF9C5700"/>
          <bgColor rgb="FF000000"/>
        </patternFill>
      </fill>
    </dxf>
  </dxfs>
  <colors>
    <indexedColors>
      <rgbColor rgb="FF000000"/>
      <rgbColor rgb="FFFFFFFF"/>
      <rgbColor rgb="FFC00000"/>
      <rgbColor rgb="FF00FF00"/>
      <rgbColor rgb="FF0000FF"/>
      <rgbColor rgb="FFFFFF00"/>
      <rgbColor rgb="FFFF00FF"/>
      <rgbColor rgb="FF00FFFF"/>
      <rgbColor rgb="FF9C0006"/>
      <rgbColor rgb="FF006100"/>
      <rgbColor rgb="FF000080"/>
      <rgbColor rgb="FF808000"/>
      <rgbColor rgb="FF800080"/>
      <rgbColor rgb="FF008080"/>
      <rgbColor rgb="FFBFBFBF"/>
      <rgbColor rgb="FF7F7F7F"/>
      <rgbColor rgb="FF9999FF"/>
      <rgbColor rgb="FF993366"/>
      <rgbColor rgb="FFF2F2F2"/>
      <rgbColor rgb="FFDDEBF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EDEDED"/>
      <rgbColor rgb="FFC6EFCE"/>
      <rgbColor rgb="FFFFEB9C"/>
      <rgbColor rgb="FF99CCFF"/>
      <rgbColor rgb="FFFF99CC"/>
      <rgbColor rgb="FFCC99FF"/>
      <rgbColor rgb="FFFFC7CE"/>
      <rgbColor rgb="FF3366FF"/>
      <rgbColor rgb="FF33CCCC"/>
      <rgbColor rgb="FF70AD47"/>
      <rgbColor rgb="FFFFC000"/>
      <rgbColor rgb="FFFF9900"/>
      <rgbColor rgb="FFFF6600"/>
      <rgbColor rgb="FF595959"/>
      <rgbColor rgb="FF878787"/>
      <rgbColor rgb="FF1F3A5F"/>
      <rgbColor rgb="FF2E7D8C"/>
      <rgbColor rgb="FF003300"/>
      <rgbColor rgb="FF333300"/>
      <rgbColor rgb="FF9C5700"/>
      <rgbColor rgb="FF993366"/>
      <rgbColor rgb="FF1F4E78"/>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Test execution by phase</a:t>
            </a:r>
          </a:p>
        </c:rich>
      </c:tx>
      <c:overlay val="0"/>
      <c:spPr>
        <a:noFill/>
        <a:ln w="0">
          <a:noFill/>
        </a:ln>
      </c:spPr>
    </c:title>
    <c:autoTitleDeleted val="0"/>
    <c:plotArea>
      <c:barChart>
        <c:barDir val="bar"/>
        <c:grouping val="stacked"/>
        <c:varyColors val="0"/>
        <c:ser>
          <c:idx val="0"/>
          <c:order val="0"/>
          <c:tx>
            <c:strRef>
              <c:f>Dashboard!E33</c:f>
              <c:strCache>
                <c:ptCount val="1"/>
                <c:pt idx="0">
                  <c:v>Passed</c:v>
                </c:pt>
              </c:strCache>
            </c:strRef>
          </c:tx>
          <c:spPr>
            <a:solidFill>
              <a:srgbClr val="70ad47"/>
            </a:solidFill>
            <a:ln w="0">
              <a:solidFill>
                <a:srgbClr val="70ad47"/>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Dashboard!$B$34:$B$37</c:f>
              <c:strCache>
                <c:ptCount val="4"/>
                <c:pt idx="0">
                  <c:v>SIT</c:v>
                </c:pt>
                <c:pt idx="1">
                  <c:v>UAT</c:v>
                </c:pt>
                <c:pt idx="2">
                  <c:v>NFR</c:v>
                </c:pt>
                <c:pt idx="3">
                  <c:v>Security</c:v>
                </c:pt>
              </c:strCache>
            </c:strRef>
          </c:cat>
          <c:val>
            <c:numRef>
              <c:f>Dashboard!$E$34:$E$37</c:f>
              <c:numCache>
                <c:formatCode>General</c:formatCode>
                <c:ptCount val="4"/>
                <c:pt idx="0">
                  <c:v>20</c:v>
                </c:pt>
                <c:pt idx="1">
                  <c:v>0</c:v>
                </c:pt>
                <c:pt idx="2">
                  <c:v>0</c:v>
                </c:pt>
                <c:pt idx="3">
                  <c:v>0</c:v>
                </c:pt>
              </c:numCache>
            </c:numRef>
          </c:val>
        </c:ser>
        <c:ser>
          <c:idx val="1"/>
          <c:order val="1"/>
          <c:tx>
            <c:strRef>
              <c:f>Dashboard!F33</c:f>
              <c:strCache>
                <c:ptCount val="1"/>
                <c:pt idx="0">
                  <c:v>Failed</c:v>
                </c:pt>
              </c:strCache>
            </c:strRef>
          </c:tx>
          <c:spPr>
            <a:solidFill>
              <a:srgbClr val="c00000"/>
            </a:solidFill>
            <a:ln w="0">
              <a:solidFill>
                <a:srgbClr val="c00000"/>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Dashboard!$B$34:$B$37</c:f>
              <c:strCache>
                <c:ptCount val="4"/>
                <c:pt idx="0">
                  <c:v>SIT</c:v>
                </c:pt>
                <c:pt idx="1">
                  <c:v>UAT</c:v>
                </c:pt>
                <c:pt idx="2">
                  <c:v>NFR</c:v>
                </c:pt>
                <c:pt idx="3">
                  <c:v>Security</c:v>
                </c:pt>
              </c:strCache>
            </c:strRef>
          </c:cat>
          <c:val>
            <c:numRef>
              <c:f>Dashboard!$F$34:$F$37</c:f>
              <c:numCache>
                <c:formatCode>General</c:formatCode>
                <c:ptCount val="4"/>
                <c:pt idx="0">
                  <c:v>2</c:v>
                </c:pt>
                <c:pt idx="1">
                  <c:v>0</c:v>
                </c:pt>
                <c:pt idx="2">
                  <c:v>0</c:v>
                </c:pt>
                <c:pt idx="3">
                  <c:v>0</c:v>
                </c:pt>
              </c:numCache>
            </c:numRef>
          </c:val>
        </c:ser>
        <c:ser>
          <c:idx val="2"/>
          <c:order val="2"/>
          <c:tx>
            <c:strRef>
              <c:f>Dashboard!G33</c:f>
              <c:strCache>
                <c:ptCount val="1"/>
                <c:pt idx="0">
                  <c:v>Blocked</c:v>
                </c:pt>
              </c:strCache>
            </c:strRef>
          </c:tx>
          <c:spPr>
            <a:solidFill>
              <a:srgbClr val="ffc000"/>
            </a:solidFill>
            <a:ln w="0">
              <a:solidFill>
                <a:srgbClr val="ffc000"/>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Dashboard!$B$34:$B$37</c:f>
              <c:strCache>
                <c:ptCount val="4"/>
                <c:pt idx="0">
                  <c:v>SIT</c:v>
                </c:pt>
                <c:pt idx="1">
                  <c:v>UAT</c:v>
                </c:pt>
                <c:pt idx="2">
                  <c:v>NFR</c:v>
                </c:pt>
                <c:pt idx="3">
                  <c:v>Security</c:v>
                </c:pt>
              </c:strCache>
            </c:strRef>
          </c:cat>
          <c:val>
            <c:numRef>
              <c:f>Dashboard!$G$34:$G$37</c:f>
              <c:numCache>
                <c:formatCode>General</c:formatCode>
                <c:ptCount val="4"/>
                <c:pt idx="0">
                  <c:v>2</c:v>
                </c:pt>
                <c:pt idx="1">
                  <c:v>0</c:v>
                </c:pt>
                <c:pt idx="2">
                  <c:v>0</c:v>
                </c:pt>
                <c:pt idx="3">
                  <c:v>0</c:v>
                </c:pt>
              </c:numCache>
            </c:numRef>
          </c:val>
        </c:ser>
        <c:ser>
          <c:idx val="3"/>
          <c:order val="3"/>
          <c:tx>
            <c:strRef>
              <c:f>Dashboard!H33</c:f>
              <c:strCache>
                <c:ptCount val="1"/>
                <c:pt idx="0">
                  <c:v>Not Run</c:v>
                </c:pt>
              </c:strCache>
            </c:strRef>
          </c:tx>
          <c:spPr>
            <a:solidFill>
              <a:srgbClr val="bfbfbf"/>
            </a:solidFill>
            <a:ln w="0">
              <a:solidFill>
                <a:srgbClr val="bfbfbf"/>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Dashboard!$B$34:$B$37</c:f>
              <c:strCache>
                <c:ptCount val="4"/>
                <c:pt idx="0">
                  <c:v>SIT</c:v>
                </c:pt>
                <c:pt idx="1">
                  <c:v>UAT</c:v>
                </c:pt>
                <c:pt idx="2">
                  <c:v>NFR</c:v>
                </c:pt>
                <c:pt idx="3">
                  <c:v>Security</c:v>
                </c:pt>
              </c:strCache>
            </c:strRef>
          </c:cat>
          <c:val>
            <c:numRef>
              <c:f>Dashboard!$H$34:$H$37</c:f>
              <c:numCache>
                <c:formatCode>General</c:formatCode>
                <c:ptCount val="4"/>
                <c:pt idx="0">
                  <c:v>30</c:v>
                </c:pt>
                <c:pt idx="1">
                  <c:v>3</c:v>
                </c:pt>
                <c:pt idx="2">
                  <c:v>3</c:v>
                </c:pt>
                <c:pt idx="3">
                  <c:v>2</c:v>
                </c:pt>
              </c:numCache>
            </c:numRef>
          </c:val>
        </c:ser>
        <c:gapWidth val="150"/>
        <c:overlap val="100"/>
        <c:axId val="81560915"/>
        <c:axId val="33180431"/>
      </c:barChart>
      <c:catAx>
        <c:axId val="81560915"/>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3180431"/>
        <c:crosses val="autoZero"/>
        <c:auto val="1"/>
        <c:lblAlgn val="ctr"/>
        <c:lblOffset val="100"/>
        <c:noMultiLvlLbl val="0"/>
      </c:catAx>
      <c:valAx>
        <c:axId val="33180431"/>
        <c:scaling>
          <c:orientation val="minMax"/>
        </c:scaling>
        <c:delete val="0"/>
        <c:axPos val="l"/>
        <c:majorGridlines>
          <c:spPr>
            <a:ln w="9360">
              <a:solidFill>
                <a:srgbClr val="878787"/>
              </a:solidFill>
              <a:round/>
            </a:ln>
          </c:spPr>
        </c:majorGridlines>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1560915"/>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38</xdr:row>
      <xdr:rowOff>101160</xdr:rowOff>
    </xdr:from>
    <xdr:to>
      <xdr:col>8</xdr:col>
      <xdr:colOff>166320</xdr:colOff>
      <xdr:row>50</xdr:row>
      <xdr:rowOff>154800</xdr:rowOff>
    </xdr:to>
    <xdr:graphicFrame>
      <xdr:nvGraphicFramePr>
        <xdr:cNvPr id="0" name="Chart 1"/>
        <xdr:cNvGraphicFramePr/>
      </xdr:nvGraphicFramePr>
      <xdr:xfrm>
        <a:off x="211320" y="8991720"/>
        <a:ext cx="7919640" cy="23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drawings/drawing5.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drawing" Target="../drawings/drawing4.xml"/>
</Relationships>
</file>

<file path=xl/worksheets/_rels/sheet6.xml.rels><?xml version="1.0" encoding="UTF-8"?>
<Relationships xmlns="http://schemas.openxmlformats.org/package/2006/relationships"><Relationship Id="rId1" Type="http://schemas.openxmlformats.org/officeDocument/2006/relationships/drawing" Target="../drawings/drawing5.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G4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4"/>
    <col collapsed="false" customWidth="true" hidden="false" outlineLevel="0" max="7" min="3" style="0" width="20"/>
  </cols>
  <sheetData>
    <row r="2" customFormat="false" ht="26.8" hidden="false" customHeight="false" outlineLevel="0" collapsed="false">
      <c r="B2" s="1" t="s">
        <v>0</v>
      </c>
    </row>
    <row r="3" customFormat="false" ht="17.35" hidden="false" customHeight="false" outlineLevel="0" collapsed="false">
      <c r="B3" s="2" t="s">
        <v>1</v>
      </c>
    </row>
    <row r="5" customFormat="false" ht="15" hidden="false" customHeight="true" outlineLevel="0" collapsed="false">
      <c r="B5" s="3" t="s">
        <v>2</v>
      </c>
      <c r="C5" s="4" t="s">
        <v>3</v>
      </c>
      <c r="D5" s="4"/>
      <c r="E5" s="4"/>
      <c r="F5" s="4"/>
      <c r="G5" s="4"/>
    </row>
    <row r="6" customFormat="false" ht="15" hidden="false" customHeight="true" outlineLevel="0" collapsed="false">
      <c r="B6" s="3" t="s">
        <v>4</v>
      </c>
      <c r="C6" s="4" t="s">
        <v>5</v>
      </c>
      <c r="D6" s="4"/>
      <c r="E6" s="4"/>
      <c r="F6" s="4"/>
      <c r="G6" s="4"/>
    </row>
    <row r="7" customFormat="false" ht="15" hidden="false" customHeight="false" outlineLevel="0" collapsed="false">
      <c r="B7" s="3" t="s">
        <v>6</v>
      </c>
      <c r="C7" s="5" t="n">
        <v>46275</v>
      </c>
      <c r="D7" s="5"/>
      <c r="E7" s="5"/>
      <c r="F7" s="5"/>
      <c r="G7" s="5"/>
    </row>
    <row r="8" customFormat="false" ht="15" hidden="false" customHeight="true" outlineLevel="0" collapsed="false">
      <c r="B8" s="3" t="s">
        <v>7</v>
      </c>
      <c r="C8" s="4" t="s">
        <v>8</v>
      </c>
      <c r="D8" s="4"/>
      <c r="E8" s="4"/>
      <c r="F8" s="4"/>
      <c r="G8" s="4"/>
    </row>
    <row r="9" customFormat="false" ht="15" hidden="false" customHeight="true" outlineLevel="0" collapsed="false">
      <c r="B9" s="3" t="s">
        <v>9</v>
      </c>
      <c r="C9" s="4" t="s">
        <v>10</v>
      </c>
      <c r="D9" s="4"/>
      <c r="E9" s="4"/>
      <c r="F9" s="4"/>
      <c r="G9" s="4"/>
    </row>
    <row r="10" customFormat="false" ht="30" hidden="false" customHeight="true" outlineLevel="0" collapsed="false">
      <c r="B10" s="3" t="s">
        <v>11</v>
      </c>
      <c r="C10" s="4" t="s">
        <v>12</v>
      </c>
      <c r="D10" s="4"/>
      <c r="E10" s="4"/>
      <c r="F10" s="4"/>
      <c r="G10" s="4"/>
    </row>
    <row r="11" customFormat="false" ht="30" hidden="false" customHeight="true" outlineLevel="0" collapsed="false">
      <c r="B11" s="3" t="s">
        <v>13</v>
      </c>
      <c r="C11" s="6" t="s">
        <v>14</v>
      </c>
      <c r="D11" s="6"/>
      <c r="E11" s="6"/>
      <c r="F11" s="6"/>
      <c r="G11" s="6"/>
    </row>
    <row r="13" customFormat="false" ht="19.5" hidden="false" customHeight="true" outlineLevel="0" collapsed="false">
      <c r="B13" s="7" t="s">
        <v>15</v>
      </c>
      <c r="C13" s="8"/>
      <c r="D13" s="8"/>
      <c r="E13" s="8"/>
      <c r="F13" s="8"/>
      <c r="G13" s="8"/>
    </row>
    <row r="14" customFormat="false" ht="43.5" hidden="false" customHeight="true" outlineLevel="0" collapsed="false">
      <c r="B14" s="9" t="s">
        <v>16</v>
      </c>
      <c r="C14" s="9"/>
      <c r="D14" s="9"/>
      <c r="E14" s="9"/>
      <c r="F14" s="9"/>
      <c r="G14" s="9"/>
    </row>
    <row r="16" customFormat="false" ht="19.5" hidden="false" customHeight="true" outlineLevel="0" collapsed="false">
      <c r="B16" s="7" t="s">
        <v>17</v>
      </c>
      <c r="C16" s="8"/>
      <c r="D16" s="8"/>
      <c r="E16" s="8"/>
      <c r="F16" s="8"/>
      <c r="G16" s="8"/>
    </row>
    <row r="17" customFormat="false" ht="18" hidden="false" customHeight="true" outlineLevel="0" collapsed="false">
      <c r="B17" s="9" t="s">
        <v>18</v>
      </c>
      <c r="C17" s="9"/>
      <c r="D17" s="9"/>
      <c r="E17" s="9"/>
      <c r="F17" s="9"/>
      <c r="G17" s="9"/>
    </row>
    <row r="18" customFormat="false" ht="18" hidden="false" customHeight="true" outlineLevel="0" collapsed="false">
      <c r="B18" s="9" t="s">
        <v>19</v>
      </c>
      <c r="C18" s="9"/>
      <c r="D18" s="9"/>
      <c r="E18" s="9"/>
      <c r="F18" s="9"/>
      <c r="G18" s="9"/>
    </row>
    <row r="19" customFormat="false" ht="18" hidden="false" customHeight="true" outlineLevel="0" collapsed="false">
      <c r="B19" s="9" t="s">
        <v>20</v>
      </c>
      <c r="C19" s="9"/>
      <c r="D19" s="9"/>
      <c r="E19" s="9"/>
      <c r="F19" s="9"/>
      <c r="G19" s="9"/>
    </row>
    <row r="21" customFormat="false" ht="19.5" hidden="false" customHeight="true" outlineLevel="0" collapsed="false">
      <c r="B21" s="7" t="s">
        <v>21</v>
      </c>
      <c r="C21" s="8"/>
      <c r="D21" s="8"/>
      <c r="E21" s="8"/>
      <c r="F21" s="8"/>
      <c r="G21" s="8"/>
    </row>
    <row r="22" customFormat="false" ht="15" hidden="false" customHeight="true" outlineLevel="0" collapsed="false">
      <c r="B22" s="10" t="s">
        <v>22</v>
      </c>
      <c r="C22" s="10" t="s">
        <v>23</v>
      </c>
      <c r="D22" s="10"/>
      <c r="E22" s="10"/>
      <c r="F22" s="10"/>
      <c r="G22" s="10"/>
    </row>
    <row r="23" customFormat="false" ht="18" hidden="false" customHeight="true" outlineLevel="0" collapsed="false">
      <c r="B23" s="11" t="s">
        <v>24</v>
      </c>
      <c r="C23" s="12" t="s">
        <v>25</v>
      </c>
      <c r="D23" s="12"/>
      <c r="E23" s="12"/>
      <c r="F23" s="12"/>
      <c r="G23" s="12"/>
    </row>
    <row r="24" customFormat="false" ht="18" hidden="false" customHeight="true" outlineLevel="0" collapsed="false">
      <c r="B24" s="11" t="s">
        <v>26</v>
      </c>
      <c r="C24" s="12" t="s">
        <v>27</v>
      </c>
      <c r="D24" s="12"/>
      <c r="E24" s="12"/>
      <c r="F24" s="12"/>
      <c r="G24" s="12"/>
    </row>
    <row r="25" customFormat="false" ht="18" hidden="false" customHeight="true" outlineLevel="0" collapsed="false">
      <c r="B25" s="11" t="s">
        <v>28</v>
      </c>
      <c r="C25" s="12" t="s">
        <v>29</v>
      </c>
      <c r="D25" s="12"/>
      <c r="E25" s="12"/>
      <c r="F25" s="12"/>
      <c r="G25" s="12"/>
    </row>
    <row r="26" customFormat="false" ht="18" hidden="false" customHeight="true" outlineLevel="0" collapsed="false">
      <c r="B26" s="11" t="s">
        <v>30</v>
      </c>
      <c r="C26" s="12" t="s">
        <v>31</v>
      </c>
      <c r="D26" s="12"/>
      <c r="E26" s="12"/>
      <c r="F26" s="12"/>
      <c r="G26" s="12"/>
    </row>
    <row r="27" customFormat="false" ht="18" hidden="false" customHeight="true" outlineLevel="0" collapsed="false">
      <c r="B27" s="11" t="s">
        <v>32</v>
      </c>
      <c r="C27" s="12" t="s">
        <v>33</v>
      </c>
      <c r="D27" s="12"/>
      <c r="E27" s="12"/>
      <c r="F27" s="12"/>
      <c r="G27" s="12"/>
    </row>
    <row r="28" customFormat="false" ht="18" hidden="false" customHeight="true" outlineLevel="0" collapsed="false">
      <c r="B28" s="11" t="s">
        <v>34</v>
      </c>
      <c r="C28" s="12" t="s">
        <v>35</v>
      </c>
      <c r="D28" s="12"/>
      <c r="E28" s="12"/>
      <c r="F28" s="12"/>
      <c r="G28" s="12"/>
    </row>
    <row r="29" customFormat="false" ht="18" hidden="false" customHeight="true" outlineLevel="0" collapsed="false">
      <c r="B29" s="11" t="s">
        <v>36</v>
      </c>
      <c r="C29" s="12" t="s">
        <v>37</v>
      </c>
      <c r="D29" s="12"/>
      <c r="E29" s="12"/>
      <c r="F29" s="12"/>
      <c r="G29" s="12"/>
    </row>
    <row r="31" customFormat="false" ht="19.5" hidden="false" customHeight="true" outlineLevel="0" collapsed="false">
      <c r="B31" s="7" t="s">
        <v>38</v>
      </c>
      <c r="C31" s="8"/>
      <c r="D31" s="8"/>
      <c r="E31" s="8"/>
      <c r="F31" s="8"/>
      <c r="G31" s="8"/>
    </row>
    <row r="32" customFormat="false" ht="15" hidden="false" customHeight="true" outlineLevel="0" collapsed="false">
      <c r="B32" s="10" t="s">
        <v>39</v>
      </c>
      <c r="C32" s="10" t="s">
        <v>40</v>
      </c>
      <c r="D32" s="10"/>
      <c r="E32" s="10"/>
      <c r="F32" s="10"/>
      <c r="G32" s="10"/>
    </row>
    <row r="33" customFormat="false" ht="18" hidden="false" customHeight="true" outlineLevel="0" collapsed="false">
      <c r="B33" s="11" t="s">
        <v>41</v>
      </c>
      <c r="C33" s="12" t="s">
        <v>42</v>
      </c>
      <c r="D33" s="12"/>
      <c r="E33" s="12"/>
      <c r="F33" s="12"/>
      <c r="G33" s="12"/>
    </row>
    <row r="34" customFormat="false" ht="18" hidden="false" customHeight="true" outlineLevel="0" collapsed="false">
      <c r="B34" s="11" t="s">
        <v>43</v>
      </c>
      <c r="C34" s="12" t="s">
        <v>44</v>
      </c>
      <c r="D34" s="12"/>
      <c r="E34" s="12"/>
      <c r="F34" s="12"/>
      <c r="G34" s="12"/>
    </row>
    <row r="35" customFormat="false" ht="18" hidden="false" customHeight="true" outlineLevel="0" collapsed="false">
      <c r="B35" s="11" t="s">
        <v>45</v>
      </c>
      <c r="C35" s="12" t="s">
        <v>46</v>
      </c>
      <c r="D35" s="12"/>
      <c r="E35" s="12"/>
      <c r="F35" s="12"/>
      <c r="G35" s="12"/>
    </row>
    <row r="36" customFormat="false" ht="31.5" hidden="false" customHeight="true" outlineLevel="0" collapsed="false">
      <c r="B36" s="11" t="s">
        <v>47</v>
      </c>
      <c r="C36" s="12" t="s">
        <v>48</v>
      </c>
      <c r="D36" s="12"/>
      <c r="E36" s="12"/>
      <c r="F36" s="12"/>
      <c r="G36" s="12"/>
    </row>
    <row r="38" customFormat="false" ht="19.5" hidden="false" customHeight="true" outlineLevel="0" collapsed="false">
      <c r="B38" s="7" t="s">
        <v>49</v>
      </c>
      <c r="C38" s="8"/>
      <c r="D38" s="8"/>
      <c r="E38" s="8"/>
      <c r="F38" s="8"/>
      <c r="G38" s="8"/>
    </row>
    <row r="39" customFormat="false" ht="18" hidden="false" customHeight="true" outlineLevel="0" collapsed="false">
      <c r="B39" s="9" t="s">
        <v>50</v>
      </c>
      <c r="C39" s="9"/>
      <c r="D39" s="9"/>
      <c r="E39" s="9"/>
      <c r="F39" s="9"/>
      <c r="G39" s="9"/>
    </row>
    <row r="40" customFormat="false" ht="18" hidden="false" customHeight="true" outlineLevel="0" collapsed="false">
      <c r="B40" s="9" t="s">
        <v>51</v>
      </c>
      <c r="C40" s="9"/>
      <c r="D40" s="9"/>
      <c r="E40" s="9"/>
      <c r="F40" s="9"/>
      <c r="G40" s="9"/>
    </row>
    <row r="41" customFormat="false" ht="30" hidden="false" customHeight="true" outlineLevel="0" collapsed="false">
      <c r="B41" s="9" t="s">
        <v>52</v>
      </c>
      <c r="C41" s="9"/>
      <c r="D41" s="9"/>
      <c r="E41" s="9"/>
      <c r="F41" s="9"/>
      <c r="G41" s="9"/>
    </row>
    <row r="42" customFormat="false" ht="18" hidden="false" customHeight="true" outlineLevel="0" collapsed="false">
      <c r="B42" s="9" t="s">
        <v>53</v>
      </c>
      <c r="C42" s="9"/>
      <c r="D42" s="9"/>
      <c r="E42" s="9"/>
      <c r="F42" s="9"/>
      <c r="G42" s="9"/>
    </row>
    <row r="43" customFormat="false" ht="30" hidden="false" customHeight="true" outlineLevel="0" collapsed="false">
      <c r="B43" s="9" t="s">
        <v>54</v>
      </c>
      <c r="C43" s="9"/>
      <c r="D43" s="9"/>
      <c r="E43" s="9"/>
      <c r="F43" s="9"/>
      <c r="G43" s="9"/>
    </row>
    <row r="44" customFormat="false" ht="30" hidden="false" customHeight="true" outlineLevel="0" collapsed="false">
      <c r="B44" s="9" t="s">
        <v>55</v>
      </c>
      <c r="C44" s="9"/>
      <c r="D44" s="9"/>
      <c r="E44" s="9"/>
      <c r="F44" s="9"/>
      <c r="G44" s="9"/>
    </row>
    <row r="46" customFormat="false" ht="19.5" hidden="false" customHeight="true" outlineLevel="0" collapsed="false">
      <c r="B46" s="7" t="s">
        <v>56</v>
      </c>
      <c r="C46" s="8"/>
      <c r="D46" s="8"/>
      <c r="E46" s="8"/>
      <c r="F46" s="8"/>
      <c r="G46" s="8"/>
    </row>
    <row r="47" customFormat="false" ht="15" hidden="false" customHeight="true" outlineLevel="0" collapsed="false">
      <c r="B47" s="10" t="s">
        <v>4</v>
      </c>
      <c r="C47" s="10" t="s">
        <v>57</v>
      </c>
      <c r="D47" s="10" t="s">
        <v>58</v>
      </c>
      <c r="E47" s="10" t="s">
        <v>59</v>
      </c>
      <c r="F47" s="10"/>
      <c r="G47" s="10"/>
    </row>
    <row r="48" customFormat="false" ht="30" hidden="false" customHeight="true" outlineLevel="0" collapsed="false">
      <c r="B48" s="13" t="s">
        <v>5</v>
      </c>
      <c r="C48" s="14" t="n">
        <v>46275</v>
      </c>
      <c r="D48" s="13" t="s">
        <v>60</v>
      </c>
      <c r="E48" s="12" t="s">
        <v>61</v>
      </c>
      <c r="F48" s="12"/>
      <c r="G48" s="12"/>
    </row>
  </sheetData>
  <mergeCells count="32">
    <mergeCell ref="C5:G5"/>
    <mergeCell ref="C6:G6"/>
    <mergeCell ref="C7:G7"/>
    <mergeCell ref="C8:G8"/>
    <mergeCell ref="C9:G9"/>
    <mergeCell ref="C10:G10"/>
    <mergeCell ref="C11:G11"/>
    <mergeCell ref="B14:G14"/>
    <mergeCell ref="B17:G17"/>
    <mergeCell ref="B18:G18"/>
    <mergeCell ref="B19:G19"/>
    <mergeCell ref="C22:G22"/>
    <mergeCell ref="C23:G23"/>
    <mergeCell ref="C24:G24"/>
    <mergeCell ref="C25:G25"/>
    <mergeCell ref="C26:G26"/>
    <mergeCell ref="C27:G27"/>
    <mergeCell ref="C28:G28"/>
    <mergeCell ref="C29:G29"/>
    <mergeCell ref="C32:G32"/>
    <mergeCell ref="C33:G33"/>
    <mergeCell ref="C34:G34"/>
    <mergeCell ref="C35:G35"/>
    <mergeCell ref="C36:G36"/>
    <mergeCell ref="B39:G39"/>
    <mergeCell ref="B40:G40"/>
    <mergeCell ref="B41:G41"/>
    <mergeCell ref="B42:G42"/>
    <mergeCell ref="B43:G43"/>
    <mergeCell ref="B44:G44"/>
    <mergeCell ref="E47:G47"/>
    <mergeCell ref="E48:G48"/>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I7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2"/>
    <col collapsed="false" customWidth="true" hidden="false" outlineLevel="0" max="3" min="3" style="0" width="34"/>
    <col collapsed="false" customWidth="true" hidden="false" outlineLevel="0" max="7" min="4" style="0" width="12"/>
    <col collapsed="false" customWidth="true" hidden="false" outlineLevel="0" max="9" min="8" style="0" width="16"/>
  </cols>
  <sheetData>
    <row r="1" customFormat="false" ht="22.05" hidden="false" customHeight="false" outlineLevel="0" collapsed="false">
      <c r="B1" s="15" t="s">
        <v>62</v>
      </c>
    </row>
    <row r="2" customFormat="false" ht="15" hidden="false" customHeight="false" outlineLevel="0" collapsed="false">
      <c r="B2" s="16" t="s">
        <v>63</v>
      </c>
    </row>
    <row r="3" customFormat="false" ht="15" hidden="false" customHeight="false" outlineLevel="0" collapsed="false">
      <c r="B3" s="17" t="str">
        <f aca="false">"Reporting date: "&amp;TEXT(Cover!$C$7,"DD-MMM-YYYY")</f>
        <v>Reporting date: 10-Sep-2026</v>
      </c>
    </row>
    <row r="5" customFormat="false" ht="19.5" hidden="false" customHeight="true" outlineLevel="0" collapsed="false">
      <c r="B5" s="7" t="s">
        <v>64</v>
      </c>
      <c r="C5" s="8"/>
      <c r="D5" s="8"/>
      <c r="E5" s="8"/>
      <c r="F5" s="8"/>
      <c r="G5" s="8"/>
      <c r="H5" s="8"/>
      <c r="I5" s="8"/>
    </row>
    <row r="6" customFormat="false" ht="30" hidden="false" customHeight="true" outlineLevel="0" collapsed="false">
      <c r="B6" s="10" t="s">
        <v>65</v>
      </c>
      <c r="C6" s="10" t="s">
        <v>66</v>
      </c>
      <c r="D6" s="10"/>
      <c r="E6" s="10" t="s">
        <v>67</v>
      </c>
      <c r="F6" s="10" t="s">
        <v>24</v>
      </c>
      <c r="G6" s="10" t="s">
        <v>68</v>
      </c>
      <c r="H6" s="10" t="s">
        <v>69</v>
      </c>
      <c r="I6" s="10" t="s">
        <v>70</v>
      </c>
    </row>
    <row r="7" customFormat="false" ht="30" hidden="false" customHeight="true" outlineLevel="0" collapsed="false">
      <c r="B7" s="18" t="n">
        <f aca="false">COUNTIFS(Requirements!$L$5:$L$64,"Approved")</f>
        <v>22</v>
      </c>
      <c r="C7" s="18" t="n">
        <f aca="false">COUNTIFS(Requirements!$L$5:$L$64,"Approved",Requirements!$M$5:$M$64,"&gt;0")</f>
        <v>21</v>
      </c>
      <c r="D7" s="18"/>
      <c r="E7" s="19" t="n">
        <f aca="false">IFERROR(C7/B7,0)</f>
        <v>0.954545454545455</v>
      </c>
      <c r="F7" s="18" t="n">
        <f aca="false">COUNTIFS(Requirements!$S$5:$S$64,"Verified")</f>
        <v>2</v>
      </c>
      <c r="G7" s="18" t="n">
        <f aca="false">COUNTA('Test Cases'!$A$5:$A$204)</f>
        <v>62</v>
      </c>
      <c r="H7" s="19" t="n">
        <f aca="false">IFERROR((COUNTIFS('Test Cases'!$L$5:$L$204,"Passed")+COUNTIFS('Test Cases'!$L$5:$L$204,"Failed"))/G7,0)</f>
        <v>0.354838709677419</v>
      </c>
      <c r="I7" s="19" t="n">
        <f aca="false">IFERROR(COUNTIFS('Test Cases'!$L$5:$L$204,"Passed")/(COUNTIFS('Test Cases'!$L$5:$L$204,"Passed")+COUNTIFS('Test Cases'!$L$5:$L$204,"Failed")),0)</f>
        <v>0.909090909090909</v>
      </c>
    </row>
    <row r="8" customFormat="false" ht="30" hidden="false" customHeight="true" outlineLevel="0" collapsed="false">
      <c r="B8" s="10" t="s">
        <v>71</v>
      </c>
      <c r="C8" s="10" t="s">
        <v>72</v>
      </c>
      <c r="D8" s="10"/>
      <c r="E8" s="10" t="s">
        <v>73</v>
      </c>
      <c r="F8" s="10" t="s">
        <v>74</v>
      </c>
      <c r="G8" s="10" t="s">
        <v>75</v>
      </c>
      <c r="H8" s="10" t="s">
        <v>76</v>
      </c>
      <c r="I8" s="10" t="s">
        <v>77</v>
      </c>
    </row>
    <row r="9" customFormat="false" ht="30" hidden="false" customHeight="true" outlineLevel="0" collapsed="false">
      <c r="B9" s="20" t="n">
        <f aca="false">(COUNTIFS(Defects!$H$5:$H$104,"Open")+COUNTIFS(Defects!$H$5:$H$104,"In Progress")+COUNTIFS(Defects!$H$5:$H$104,"Fixed - Retest"))</f>
        <v>2</v>
      </c>
      <c r="C9" s="20" t="n">
        <f aca="false">(COUNTIFS(Defects!$H$5:$H$104,"Open",Defects!$G$5:$G$104,"High")+COUNTIFS(Defects!$H$5:$H$104,"In Progress",Defects!$G$5:$G$104,"High")+COUNTIFS(Defects!$H$5:$H$104,"Fixed - Retest",Defects!$G$5:$G$104,"High"))+(COUNTIFS(Defects!$H$5:$H$104,"Open",Defects!$G$5:$G$104,"Critical")+COUNTIFS(Defects!$H$5:$H$104,"In Progress",Defects!$G$5:$G$104,"Critical")+COUNTIFS(Defects!$H$5:$H$104,"Fixed - Retest",Defects!$G$5:$G$104,"Critical"))</f>
        <v>2</v>
      </c>
      <c r="D9" s="20"/>
      <c r="E9" s="20" t="n">
        <f aca="false">COUNTIFS(Requirements!$S$5:$S$64,"Failing")</f>
        <v>2</v>
      </c>
      <c r="F9" s="20" t="n">
        <f aca="false">COUNTIFS(Requirements!$S$5:$S$64,"Blocked")</f>
        <v>1</v>
      </c>
      <c r="G9" s="20" t="n">
        <f aca="false">COUNTIFS(Requirements!$S$5:$S$64,"No test coverage")</f>
        <v>1</v>
      </c>
      <c r="H9" s="20" t="n">
        <f aca="false">COUNTIFS(Controls!$K$5:$K$34,"No test coverage")</f>
        <v>1</v>
      </c>
      <c r="I9" s="20" t="n">
        <f aca="false">COUNTIFS(Controls!$K$5:$K$34,"Failing")</f>
        <v>1</v>
      </c>
    </row>
    <row r="11" customFormat="false" ht="19.5" hidden="false" customHeight="true" outlineLevel="0" collapsed="false">
      <c r="B11" s="7" t="s">
        <v>78</v>
      </c>
      <c r="C11" s="8"/>
      <c r="D11" s="8"/>
      <c r="E11" s="8"/>
      <c r="F11" s="8"/>
      <c r="G11" s="8"/>
      <c r="H11" s="8"/>
      <c r="I11" s="8"/>
    </row>
    <row r="12" customFormat="false" ht="30" hidden="false" customHeight="true" outlineLevel="0" collapsed="false">
      <c r="B12" s="10" t="s">
        <v>22</v>
      </c>
      <c r="C12" s="10"/>
      <c r="D12" s="10" t="s">
        <v>79</v>
      </c>
      <c r="E12" s="10"/>
      <c r="F12" s="10" t="s">
        <v>23</v>
      </c>
      <c r="G12" s="10"/>
      <c r="H12" s="10"/>
      <c r="I12" s="10"/>
    </row>
    <row r="13" customFormat="false" ht="15" hidden="false" customHeight="true" outlineLevel="0" collapsed="false">
      <c r="B13" s="11" t="s">
        <v>24</v>
      </c>
      <c r="C13" s="11"/>
      <c r="D13" s="21" t="n">
        <f aca="false">COUNTIFS(Requirements!$S$5:$S$64,"Verified")</f>
        <v>2</v>
      </c>
      <c r="E13" s="21"/>
      <c r="F13" s="12" t="s">
        <v>80</v>
      </c>
      <c r="G13" s="12"/>
      <c r="H13" s="12"/>
      <c r="I13" s="12"/>
    </row>
    <row r="14" customFormat="false" ht="15" hidden="false" customHeight="true" outlineLevel="0" collapsed="false">
      <c r="B14" s="11" t="s">
        <v>26</v>
      </c>
      <c r="C14" s="11"/>
      <c r="D14" s="21" t="n">
        <f aca="false">COUNTIFS(Requirements!$S$5:$S$64,"Partially verified")</f>
        <v>4</v>
      </c>
      <c r="E14" s="21"/>
      <c r="F14" s="12" t="s">
        <v>81</v>
      </c>
      <c r="G14" s="12"/>
      <c r="H14" s="12"/>
      <c r="I14" s="12"/>
    </row>
    <row r="15" customFormat="false" ht="15" hidden="false" customHeight="true" outlineLevel="0" collapsed="false">
      <c r="B15" s="11" t="s">
        <v>28</v>
      </c>
      <c r="C15" s="11"/>
      <c r="D15" s="21" t="n">
        <f aca="false">COUNTIFS(Requirements!$S$5:$S$64,"Not yet tested")</f>
        <v>12</v>
      </c>
      <c r="E15" s="21"/>
      <c r="F15" s="12" t="s">
        <v>82</v>
      </c>
      <c r="G15" s="12"/>
      <c r="H15" s="12"/>
      <c r="I15" s="12"/>
    </row>
    <row r="16" customFormat="false" ht="15" hidden="false" customHeight="true" outlineLevel="0" collapsed="false">
      <c r="B16" s="11" t="s">
        <v>30</v>
      </c>
      <c r="C16" s="11"/>
      <c r="D16" s="21" t="n">
        <f aca="false">COUNTIFS(Requirements!$S$5:$S$64,"Blocked")</f>
        <v>1</v>
      </c>
      <c r="E16" s="21"/>
      <c r="F16" s="12" t="s">
        <v>83</v>
      </c>
      <c r="G16" s="12"/>
      <c r="H16" s="12"/>
      <c r="I16" s="12"/>
    </row>
    <row r="17" customFormat="false" ht="15" hidden="false" customHeight="true" outlineLevel="0" collapsed="false">
      <c r="B17" s="11" t="s">
        <v>32</v>
      </c>
      <c r="C17" s="11"/>
      <c r="D17" s="21" t="n">
        <f aca="false">COUNTIFS(Requirements!$S$5:$S$64,"Failing")</f>
        <v>2</v>
      </c>
      <c r="E17" s="21"/>
      <c r="F17" s="12" t="s">
        <v>84</v>
      </c>
      <c r="G17" s="12"/>
      <c r="H17" s="12"/>
      <c r="I17" s="12"/>
    </row>
    <row r="18" customFormat="false" ht="15" hidden="false" customHeight="true" outlineLevel="0" collapsed="false">
      <c r="B18" s="11" t="s">
        <v>34</v>
      </c>
      <c r="C18" s="11"/>
      <c r="D18" s="21" t="n">
        <f aca="false">COUNTIFS(Requirements!$S$5:$S$64,"No test coverage")</f>
        <v>1</v>
      </c>
      <c r="E18" s="21"/>
      <c r="F18" s="12" t="s">
        <v>85</v>
      </c>
      <c r="G18" s="12"/>
      <c r="H18" s="12"/>
      <c r="I18" s="12"/>
    </row>
    <row r="19" customFormat="false" ht="15" hidden="false" customHeight="true" outlineLevel="0" collapsed="false">
      <c r="B19" s="11" t="s">
        <v>36</v>
      </c>
      <c r="C19" s="11"/>
      <c r="D19" s="21" t="n">
        <f aca="false">COUNTIFS(Requirements!$S$5:$S$64,"Not in scope yet")</f>
        <v>2</v>
      </c>
      <c r="E19" s="21"/>
      <c r="F19" s="12" t="s">
        <v>86</v>
      </c>
      <c r="G19" s="12"/>
      <c r="H19" s="12"/>
      <c r="I19" s="12"/>
    </row>
    <row r="21" customFormat="false" ht="19.5" hidden="false" customHeight="true" outlineLevel="0" collapsed="false">
      <c r="B21" s="7" t="s">
        <v>87</v>
      </c>
      <c r="C21" s="8"/>
      <c r="D21" s="8"/>
      <c r="E21" s="8"/>
      <c r="F21" s="8"/>
      <c r="G21" s="8"/>
      <c r="H21" s="8"/>
      <c r="I21" s="8"/>
    </row>
    <row r="22" customFormat="false" ht="30" hidden="false" customHeight="true" outlineLevel="0" collapsed="false">
      <c r="B22" s="10" t="s">
        <v>88</v>
      </c>
      <c r="C22" s="10"/>
      <c r="D22" s="10" t="s">
        <v>89</v>
      </c>
      <c r="E22" s="10" t="s">
        <v>90</v>
      </c>
      <c r="F22" s="10" t="s">
        <v>24</v>
      </c>
      <c r="G22" s="10" t="s">
        <v>91</v>
      </c>
      <c r="H22" s="10" t="s">
        <v>92</v>
      </c>
      <c r="I22" s="10"/>
    </row>
    <row r="23" customFormat="false" ht="15" hidden="false" customHeight="true" outlineLevel="0" collapsed="false">
      <c r="B23" s="11" t="s">
        <v>93</v>
      </c>
      <c r="C23" s="11"/>
      <c r="D23" s="13" t="n">
        <f aca="false">COUNTIFS(Requirements!$B$5:$B$64,"Functional",Requirements!$L$5:$L$64,"Approved")</f>
        <v>8</v>
      </c>
      <c r="E23" s="13" t="n">
        <f aca="false">COUNTIFS(Requirements!$B$5:$B$64,"Functional",Requirements!$L$5:$L$64,"Approved",Requirements!$M$5:$M$64,"&gt;0")</f>
        <v>8</v>
      </c>
      <c r="F23" s="13" t="n">
        <f aca="false">COUNTIFS(Requirements!$B$5:$B$64,"Functional",Requirements!$S$5:$S$64,"Verified")</f>
        <v>2</v>
      </c>
      <c r="G23" s="21" t="n">
        <f aca="false">COUNTIFS(Requirements!$B$5:$B$64,"Functional",Requirements!$S$5:$S$64,"Failing")+COUNTIFS(Requirements!$B$5:$B$64,"Functional",Requirements!$S$5:$S$64,"Blocked")+COUNTIFS(Requirements!$B$5:$B$64,"Functional",Requirements!$S$5:$S$64,"No test coverage")</f>
        <v>0</v>
      </c>
      <c r="H23" s="22" t="n">
        <f aca="false">IFERROR(E23/D23,0)</f>
        <v>1</v>
      </c>
      <c r="I23" s="22"/>
    </row>
    <row r="24" customFormat="false" ht="15" hidden="false" customHeight="true" outlineLevel="0" collapsed="false">
      <c r="B24" s="11" t="s">
        <v>94</v>
      </c>
      <c r="C24" s="11"/>
      <c r="D24" s="13" t="n">
        <f aca="false">COUNTIFS(Requirements!$B$5:$B$64,"Integration",Requirements!$L$5:$L$64,"Approved")</f>
        <v>2</v>
      </c>
      <c r="E24" s="13" t="n">
        <f aca="false">COUNTIFS(Requirements!$B$5:$B$64,"Integration",Requirements!$L$5:$L$64,"Approved",Requirements!$M$5:$M$64,"&gt;0")</f>
        <v>2</v>
      </c>
      <c r="F24" s="13" t="n">
        <f aca="false">COUNTIFS(Requirements!$B$5:$B$64,"Integration",Requirements!$S$5:$S$64,"Verified")</f>
        <v>0</v>
      </c>
      <c r="G24" s="21" t="n">
        <f aca="false">COUNTIFS(Requirements!$B$5:$B$64,"Integration",Requirements!$S$5:$S$64,"Failing")+COUNTIFS(Requirements!$B$5:$B$64,"Integration",Requirements!$S$5:$S$64,"Blocked")+COUNTIFS(Requirements!$B$5:$B$64,"Integration",Requirements!$S$5:$S$64,"No test coverage")</f>
        <v>1</v>
      </c>
      <c r="H24" s="22" t="n">
        <f aca="false">IFERROR(E24/D24,0)</f>
        <v>1</v>
      </c>
      <c r="I24" s="22"/>
    </row>
    <row r="25" customFormat="false" ht="15" hidden="false" customHeight="true" outlineLevel="0" collapsed="false">
      <c r="B25" s="11" t="s">
        <v>47</v>
      </c>
      <c r="C25" s="11"/>
      <c r="D25" s="13" t="n">
        <f aca="false">COUNTIFS(Requirements!$B$5:$B$64,"Security",Requirements!$L$5:$L$64,"Approved")</f>
        <v>3</v>
      </c>
      <c r="E25" s="13" t="n">
        <f aca="false">COUNTIFS(Requirements!$B$5:$B$64,"Security",Requirements!$L$5:$L$64,"Approved",Requirements!$M$5:$M$64,"&gt;0")</f>
        <v>3</v>
      </c>
      <c r="F25" s="13" t="n">
        <f aca="false">COUNTIFS(Requirements!$B$5:$B$64,"Security",Requirements!$S$5:$S$64,"Verified")</f>
        <v>0</v>
      </c>
      <c r="G25" s="21" t="n">
        <f aca="false">COUNTIFS(Requirements!$B$5:$B$64,"Security",Requirements!$S$5:$S$64,"Failing")+COUNTIFS(Requirements!$B$5:$B$64,"Security",Requirements!$S$5:$S$64,"Blocked")+COUNTIFS(Requirements!$B$5:$B$64,"Security",Requirements!$S$5:$S$64,"No test coverage")</f>
        <v>1</v>
      </c>
      <c r="H25" s="22" t="n">
        <f aca="false">IFERROR(E25/D25,0)</f>
        <v>1</v>
      </c>
      <c r="I25" s="22"/>
    </row>
    <row r="26" customFormat="false" ht="15" hidden="false" customHeight="true" outlineLevel="0" collapsed="false">
      <c r="B26" s="11" t="s">
        <v>95</v>
      </c>
      <c r="C26" s="11"/>
      <c r="D26" s="13" t="n">
        <f aca="false">COUNTIFS(Requirements!$B$5:$B$64,"Compliance",Requirements!$L$5:$L$64,"Approved")</f>
        <v>4</v>
      </c>
      <c r="E26" s="13" t="n">
        <f aca="false">COUNTIFS(Requirements!$B$5:$B$64,"Compliance",Requirements!$L$5:$L$64,"Approved",Requirements!$M$5:$M$64,"&gt;0")</f>
        <v>3</v>
      </c>
      <c r="F26" s="13" t="n">
        <f aca="false">COUNTIFS(Requirements!$B$5:$B$64,"Compliance",Requirements!$S$5:$S$64,"Verified")</f>
        <v>0</v>
      </c>
      <c r="G26" s="21" t="n">
        <f aca="false">COUNTIFS(Requirements!$B$5:$B$64,"Compliance",Requirements!$S$5:$S$64,"Failing")+COUNTIFS(Requirements!$B$5:$B$64,"Compliance",Requirements!$S$5:$S$64,"Blocked")+COUNTIFS(Requirements!$B$5:$B$64,"Compliance",Requirements!$S$5:$S$64,"No test coverage")</f>
        <v>1</v>
      </c>
      <c r="H26" s="22" t="n">
        <f aca="false">IFERROR(E26/D26,0)</f>
        <v>0.75</v>
      </c>
      <c r="I26" s="22"/>
    </row>
    <row r="27" customFormat="false" ht="15" hidden="false" customHeight="true" outlineLevel="0" collapsed="false">
      <c r="B27" s="11" t="s">
        <v>96</v>
      </c>
      <c r="C27" s="11"/>
      <c r="D27" s="13" t="n">
        <f aca="false">COUNTIFS(Requirements!$B$5:$B$64,"Non-functional",Requirements!$L$5:$L$64,"Approved")</f>
        <v>2</v>
      </c>
      <c r="E27" s="13" t="n">
        <f aca="false">COUNTIFS(Requirements!$B$5:$B$64,"Non-functional",Requirements!$L$5:$L$64,"Approved",Requirements!$M$5:$M$64,"&gt;0")</f>
        <v>2</v>
      </c>
      <c r="F27" s="13" t="n">
        <f aca="false">COUNTIFS(Requirements!$B$5:$B$64,"Non-functional",Requirements!$S$5:$S$64,"Verified")</f>
        <v>0</v>
      </c>
      <c r="G27" s="21" t="n">
        <f aca="false">COUNTIFS(Requirements!$B$5:$B$64,"Non-functional",Requirements!$S$5:$S$64,"Failing")+COUNTIFS(Requirements!$B$5:$B$64,"Non-functional",Requirements!$S$5:$S$64,"Blocked")+COUNTIFS(Requirements!$B$5:$B$64,"Non-functional",Requirements!$S$5:$S$64,"No test coverage")</f>
        <v>0</v>
      </c>
      <c r="H27" s="22" t="n">
        <f aca="false">IFERROR(E27/D27,0)</f>
        <v>1</v>
      </c>
      <c r="I27" s="22"/>
    </row>
    <row r="28" customFormat="false" ht="15" hidden="false" customHeight="true" outlineLevel="0" collapsed="false">
      <c r="B28" s="11" t="s">
        <v>97</v>
      </c>
      <c r="C28" s="11"/>
      <c r="D28" s="13" t="n">
        <f aca="false">COUNTIFS(Requirements!$B$5:$B$64,"Reporting",Requirements!$L$5:$L$64,"Approved")</f>
        <v>1</v>
      </c>
      <c r="E28" s="13" t="n">
        <f aca="false">COUNTIFS(Requirements!$B$5:$B$64,"Reporting",Requirements!$L$5:$L$64,"Approved",Requirements!$M$5:$M$64,"&gt;0")</f>
        <v>1</v>
      </c>
      <c r="F28" s="13" t="n">
        <f aca="false">COUNTIFS(Requirements!$B$5:$B$64,"Reporting",Requirements!$S$5:$S$64,"Verified")</f>
        <v>0</v>
      </c>
      <c r="G28" s="21" t="n">
        <f aca="false">COUNTIFS(Requirements!$B$5:$B$64,"Reporting",Requirements!$S$5:$S$64,"Failing")+COUNTIFS(Requirements!$B$5:$B$64,"Reporting",Requirements!$S$5:$S$64,"Blocked")+COUNTIFS(Requirements!$B$5:$B$64,"Reporting",Requirements!$S$5:$S$64,"No test coverage")</f>
        <v>0</v>
      </c>
      <c r="H28" s="22" t="n">
        <f aca="false">IFERROR(E28/D28,0)</f>
        <v>1</v>
      </c>
      <c r="I28" s="22"/>
    </row>
    <row r="29" customFormat="false" ht="15" hidden="false" customHeight="true" outlineLevel="0" collapsed="false">
      <c r="B29" s="11" t="s">
        <v>98</v>
      </c>
      <c r="C29" s="11"/>
      <c r="D29" s="13" t="n">
        <f aca="false">COUNTIFS(Requirements!$B$5:$B$64,"Data Quality",Requirements!$L$5:$L$64,"Approved")</f>
        <v>1</v>
      </c>
      <c r="E29" s="13" t="n">
        <f aca="false">COUNTIFS(Requirements!$B$5:$B$64,"Data Quality",Requirements!$L$5:$L$64,"Approved",Requirements!$M$5:$M$64,"&gt;0")</f>
        <v>1</v>
      </c>
      <c r="F29" s="13" t="n">
        <f aca="false">COUNTIFS(Requirements!$B$5:$B$64,"Data Quality",Requirements!$S$5:$S$64,"Verified")</f>
        <v>0</v>
      </c>
      <c r="G29" s="21" t="n">
        <f aca="false">COUNTIFS(Requirements!$B$5:$B$64,"Data Quality",Requirements!$S$5:$S$64,"Failing")+COUNTIFS(Requirements!$B$5:$B$64,"Data Quality",Requirements!$S$5:$S$64,"Blocked")+COUNTIFS(Requirements!$B$5:$B$64,"Data Quality",Requirements!$S$5:$S$64,"No test coverage")</f>
        <v>0</v>
      </c>
      <c r="H29" s="22" t="n">
        <f aca="false">IFERROR(E29/D29,0)</f>
        <v>1</v>
      </c>
      <c r="I29" s="22"/>
    </row>
    <row r="30" customFormat="false" ht="15" hidden="false" customHeight="true" outlineLevel="0" collapsed="false">
      <c r="B30" s="11" t="s">
        <v>99</v>
      </c>
      <c r="C30" s="11"/>
      <c r="D30" s="13" t="n">
        <f aca="false">COUNTIFS(Requirements!$B$5:$B$64,"Analytics",Requirements!$L$5:$L$64,"Approved")</f>
        <v>1</v>
      </c>
      <c r="E30" s="13" t="n">
        <f aca="false">COUNTIFS(Requirements!$B$5:$B$64,"Analytics",Requirements!$L$5:$L$64,"Approved",Requirements!$M$5:$M$64,"&gt;0")</f>
        <v>1</v>
      </c>
      <c r="F30" s="13" t="n">
        <f aca="false">COUNTIFS(Requirements!$B$5:$B$64,"Analytics",Requirements!$S$5:$S$64,"Verified")</f>
        <v>0</v>
      </c>
      <c r="G30" s="21" t="n">
        <f aca="false">COUNTIFS(Requirements!$B$5:$B$64,"Analytics",Requirements!$S$5:$S$64,"Failing")+COUNTIFS(Requirements!$B$5:$B$64,"Analytics",Requirements!$S$5:$S$64,"Blocked")+COUNTIFS(Requirements!$B$5:$B$64,"Analytics",Requirements!$S$5:$S$64,"No test coverage")</f>
        <v>1</v>
      </c>
      <c r="H30" s="22" t="n">
        <f aca="false">IFERROR(E30/D30,0)</f>
        <v>1</v>
      </c>
      <c r="I30" s="22"/>
    </row>
    <row r="32" customFormat="false" ht="19.5" hidden="false" customHeight="true" outlineLevel="0" collapsed="false">
      <c r="B32" s="7" t="s">
        <v>100</v>
      </c>
      <c r="C32" s="8"/>
      <c r="D32" s="8"/>
      <c r="E32" s="8"/>
      <c r="F32" s="8"/>
      <c r="G32" s="8"/>
      <c r="H32" s="8"/>
      <c r="I32" s="8"/>
    </row>
    <row r="33" customFormat="false" ht="30" hidden="false" customHeight="true" outlineLevel="0" collapsed="false">
      <c r="B33" s="10" t="s">
        <v>39</v>
      </c>
      <c r="C33" s="10"/>
      <c r="D33" s="10" t="s">
        <v>101</v>
      </c>
      <c r="E33" s="10" t="s">
        <v>102</v>
      </c>
      <c r="F33" s="10" t="s">
        <v>103</v>
      </c>
      <c r="G33" s="10" t="s">
        <v>30</v>
      </c>
      <c r="H33" s="10" t="s">
        <v>104</v>
      </c>
      <c r="I33" s="10" t="s">
        <v>69</v>
      </c>
    </row>
    <row r="34" customFormat="false" ht="15" hidden="false" customHeight="true" outlineLevel="0" collapsed="false">
      <c r="B34" s="11" t="s">
        <v>41</v>
      </c>
      <c r="C34" s="11"/>
      <c r="D34" s="13" t="n">
        <f aca="false">COUNTIFS('Test Cases'!$G$5:$G$204,"SIT")</f>
        <v>54</v>
      </c>
      <c r="E34" s="13" t="n">
        <f aca="false">COUNTIFS('Test Cases'!$G$5:$G$204,"SIT",'Test Cases'!$L$5:$L$204,"Passed")</f>
        <v>20</v>
      </c>
      <c r="F34" s="13" t="n">
        <f aca="false">COUNTIFS('Test Cases'!$G$5:$G$204,"SIT",'Test Cases'!$L$5:$L$204,"Failed")</f>
        <v>2</v>
      </c>
      <c r="G34" s="13" t="n">
        <f aca="false">COUNTIFS('Test Cases'!$G$5:$G$204,"SIT",'Test Cases'!$L$5:$L$204,"Blocked")</f>
        <v>2</v>
      </c>
      <c r="H34" s="13" t="n">
        <f aca="false">COUNTIFS('Test Cases'!$G$5:$G$204,"SIT",'Test Cases'!$L$5:$L$204,"Not Run")</f>
        <v>30</v>
      </c>
      <c r="I34" s="22" t="n">
        <f aca="false">IFERROR((E34+F34)/D34,0)</f>
        <v>0.407407407407407</v>
      </c>
    </row>
    <row r="35" customFormat="false" ht="15" hidden="false" customHeight="true" outlineLevel="0" collapsed="false">
      <c r="B35" s="11" t="s">
        <v>43</v>
      </c>
      <c r="C35" s="11"/>
      <c r="D35" s="13" t="n">
        <f aca="false">COUNTIFS('Test Cases'!$G$5:$G$204,"UAT")</f>
        <v>3</v>
      </c>
      <c r="E35" s="13" t="n">
        <f aca="false">COUNTIFS('Test Cases'!$G$5:$G$204,"UAT",'Test Cases'!$L$5:$L$204,"Passed")</f>
        <v>0</v>
      </c>
      <c r="F35" s="13" t="n">
        <f aca="false">COUNTIFS('Test Cases'!$G$5:$G$204,"UAT",'Test Cases'!$L$5:$L$204,"Failed")</f>
        <v>0</v>
      </c>
      <c r="G35" s="13" t="n">
        <f aca="false">COUNTIFS('Test Cases'!$G$5:$G$204,"UAT",'Test Cases'!$L$5:$L$204,"Blocked")</f>
        <v>0</v>
      </c>
      <c r="H35" s="13" t="n">
        <f aca="false">COUNTIFS('Test Cases'!$G$5:$G$204,"UAT",'Test Cases'!$L$5:$L$204,"Not Run")</f>
        <v>3</v>
      </c>
      <c r="I35" s="22" t="n">
        <f aca="false">IFERROR((E35+F35)/D35,0)</f>
        <v>0</v>
      </c>
    </row>
    <row r="36" customFormat="false" ht="15" hidden="false" customHeight="true" outlineLevel="0" collapsed="false">
      <c r="B36" s="11" t="s">
        <v>45</v>
      </c>
      <c r="C36" s="11"/>
      <c r="D36" s="13" t="n">
        <f aca="false">COUNTIFS('Test Cases'!$G$5:$G$204,"NFR")</f>
        <v>3</v>
      </c>
      <c r="E36" s="13" t="n">
        <f aca="false">COUNTIFS('Test Cases'!$G$5:$G$204,"NFR",'Test Cases'!$L$5:$L$204,"Passed")</f>
        <v>0</v>
      </c>
      <c r="F36" s="13" t="n">
        <f aca="false">COUNTIFS('Test Cases'!$G$5:$G$204,"NFR",'Test Cases'!$L$5:$L$204,"Failed")</f>
        <v>0</v>
      </c>
      <c r="G36" s="13" t="n">
        <f aca="false">COUNTIFS('Test Cases'!$G$5:$G$204,"NFR",'Test Cases'!$L$5:$L$204,"Blocked")</f>
        <v>0</v>
      </c>
      <c r="H36" s="13" t="n">
        <f aca="false">COUNTIFS('Test Cases'!$G$5:$G$204,"NFR",'Test Cases'!$L$5:$L$204,"Not Run")</f>
        <v>3</v>
      </c>
      <c r="I36" s="22" t="n">
        <f aca="false">IFERROR((E36+F36)/D36,0)</f>
        <v>0</v>
      </c>
    </row>
    <row r="37" customFormat="false" ht="15" hidden="false" customHeight="true" outlineLevel="0" collapsed="false">
      <c r="B37" s="11" t="s">
        <v>47</v>
      </c>
      <c r="C37" s="11"/>
      <c r="D37" s="13" t="n">
        <f aca="false">COUNTIFS('Test Cases'!$G$5:$G$204,"Security")</f>
        <v>2</v>
      </c>
      <c r="E37" s="13" t="n">
        <f aca="false">COUNTIFS('Test Cases'!$G$5:$G$204,"Security",'Test Cases'!$L$5:$L$204,"Passed")</f>
        <v>0</v>
      </c>
      <c r="F37" s="13" t="n">
        <f aca="false">COUNTIFS('Test Cases'!$G$5:$G$204,"Security",'Test Cases'!$L$5:$L$204,"Failed")</f>
        <v>0</v>
      </c>
      <c r="G37" s="13" t="n">
        <f aca="false">COUNTIFS('Test Cases'!$G$5:$G$204,"Security",'Test Cases'!$L$5:$L$204,"Blocked")</f>
        <v>0</v>
      </c>
      <c r="H37" s="13" t="n">
        <f aca="false">COUNTIFS('Test Cases'!$G$5:$G$204,"Security",'Test Cases'!$L$5:$L$204,"Not Run")</f>
        <v>2</v>
      </c>
      <c r="I37" s="22" t="n">
        <f aca="false">IFERROR((E37+F37)/D37,0)</f>
        <v>0</v>
      </c>
    </row>
    <row r="38" customFormat="false" ht="15" hidden="false" customHeight="true" outlineLevel="0" collapsed="false">
      <c r="B38" s="11" t="s">
        <v>101</v>
      </c>
      <c r="C38" s="11"/>
      <c r="D38" s="23" t="n">
        <f aca="false">SUM(D34:D37)</f>
        <v>62</v>
      </c>
      <c r="E38" s="23" t="n">
        <f aca="false">SUM(E34:E37)</f>
        <v>20</v>
      </c>
      <c r="F38" s="23" t="n">
        <f aca="false">SUM(F34:F37)</f>
        <v>2</v>
      </c>
      <c r="G38" s="23" t="n">
        <f aca="false">SUM(G34:G37)</f>
        <v>2</v>
      </c>
      <c r="H38" s="23" t="n">
        <f aca="false">SUM(H34:H37)</f>
        <v>38</v>
      </c>
      <c r="I38" s="24" t="n">
        <f aca="false">IFERROR((E38+F38)/D38,0)</f>
        <v>0.354838709677419</v>
      </c>
    </row>
    <row r="54" customFormat="false" ht="19.5" hidden="false" customHeight="true" outlineLevel="0" collapsed="false">
      <c r="B54" s="7" t="s">
        <v>105</v>
      </c>
      <c r="C54" s="8"/>
      <c r="D54" s="8"/>
      <c r="E54" s="8"/>
      <c r="F54" s="8"/>
      <c r="G54" s="8"/>
      <c r="H54" s="8"/>
      <c r="I54" s="8"/>
    </row>
    <row r="55" customFormat="false" ht="30" hidden="false" customHeight="true" outlineLevel="0" collapsed="false">
      <c r="B55" s="10" t="s">
        <v>106</v>
      </c>
      <c r="C55" s="10" t="s">
        <v>107</v>
      </c>
      <c r="D55" s="10" t="s">
        <v>108</v>
      </c>
      <c r="E55" s="10" t="s">
        <v>103</v>
      </c>
      <c r="F55" s="10" t="s">
        <v>30</v>
      </c>
      <c r="G55" s="10" t="s">
        <v>71</v>
      </c>
      <c r="H55" s="10" t="s">
        <v>109</v>
      </c>
      <c r="I55" s="10" t="s">
        <v>110</v>
      </c>
    </row>
    <row r="56" customFormat="false" ht="45.75" hidden="false" customHeight="true" outlineLevel="0" collapsed="false">
      <c r="B56" s="13" t="str">
        <f aca="false">IFERROR(IF(INDEX(Requirements!$A$5:$A$64,MATCH(SMALL(Requirements!$V$5:$V$64,1),Requirements!$V$5:$V$64,0))="","",INDEX(Requirements!$A$5:$A$64,MATCH(SMALL(Requirements!$V$5:$V$64,1),Requirements!$V$5:$V$64,0))),"")</f>
        <v>BR-02</v>
      </c>
      <c r="C56" s="12" t="str">
        <f aca="false">IFERROR(IF(INDEX(Requirements!$C$5:$C$64,MATCH(SMALL(Requirements!$V$5:$V$64,1),Requirements!$V$5:$V$64,0))="","",INDEX(Requirements!$C$5:$C$64,MATCH(SMALL(Requirements!$V$5:$V$64,1),Requirements!$V$5:$V$64,0))),"")</f>
        <v>Merchant users sign in with company single sign-on and receive role-based access (Admin, Finance, Operations).</v>
      </c>
      <c r="D56" s="13" t="str">
        <f aca="false">IFERROR(IF(INDEX(Requirements!$S$5:$S$64,MATCH(SMALL(Requirements!$V$5:$V$64,1),Requirements!$V$5:$V$64,0))="","",INDEX(Requirements!$S$5:$S$64,MATCH(SMALL(Requirements!$V$5:$V$64,1),Requirements!$V$5:$V$64,0))),"")</f>
        <v>Failing</v>
      </c>
      <c r="E56" s="13" t="n">
        <f aca="false">IFERROR(IF(INDEX(Requirements!$O$5:$O$64,MATCH(SMALL(Requirements!$V$5:$V$64,1),Requirements!$V$5:$V$64,0))="","",INDEX(Requirements!$O$5:$O$64,MATCH(SMALL(Requirements!$V$5:$V$64,1),Requirements!$V$5:$V$64,0))),"")</f>
        <v>1</v>
      </c>
      <c r="F56" s="13" t="n">
        <f aca="false">IFERROR(IF(INDEX(Requirements!$P$5:$P$64,MATCH(SMALL(Requirements!$V$5:$V$64,1),Requirements!$V$5:$V$64,0))="","",INDEX(Requirements!$P$5:$P$64,MATCH(SMALL(Requirements!$V$5:$V$64,1),Requirements!$V$5:$V$64,0))),"")</f>
        <v>0</v>
      </c>
      <c r="G56" s="13" t="n">
        <f aca="false">IFERROR(IF(INDEX(Requirements!$R$5:$R$64,MATCH(SMALL(Requirements!$V$5:$V$64,1),Requirements!$V$5:$V$64,0))="","",INDEX(Requirements!$R$5:$R$64,MATCH(SMALL(Requirements!$V$5:$V$64,1),Requirements!$V$5:$V$64,0))),"")</f>
        <v>1</v>
      </c>
      <c r="H56" s="12" t="str">
        <f aca="false">IFERROR(IF(INDEX(Requirements!$H$5:$H$64,MATCH(SMALL(Requirements!$V$5:$V$64,1),Requirements!$V$5:$V$64,0))="","",INDEX(Requirements!$H$5:$H$64,MATCH(SMALL(Requirements!$V$5:$V$64,1),Requirements!$V$5:$V$64,0))),"")</f>
        <v>US-001, US-002, US-003</v>
      </c>
      <c r="I56" s="12" t="str">
        <f aca="false">IFERROR(IF(INDEX(Requirements!$J$5:$J$64,MATCH(SMALL(Requirements!$V$5:$V$64,1),Requirements!$V$5:$V$64,0))="","",INDEX(Requirements!$J$5:$J$64,MATCH(SMALL(Requirements!$V$5:$V$64,1),Requirements!$V$5:$V$64,0))),"")</f>
        <v>A-03, D-02</v>
      </c>
    </row>
    <row r="57" customFormat="false" ht="45.75" hidden="false" customHeight="true" outlineLevel="0" collapsed="false">
      <c r="B57" s="13" t="str">
        <f aca="false">IFERROR(IF(INDEX(Requirements!$A$5:$A$64,MATCH(SMALL(Requirements!$V$5:$V$64,2),Requirements!$V$5:$V$64,0))="","",INDEX(Requirements!$A$5:$A$64,MATCH(SMALL(Requirements!$V$5:$V$64,2),Requirements!$V$5:$V$64,0))),"")</f>
        <v>BR-06</v>
      </c>
      <c r="C57" s="12" t="str">
        <f aca="false">IFERROR(IF(INDEX(Requirements!$C$5:$C$64,MATCH(SMALL(Requirements!$V$5:$V$64,2),Requirements!$V$5:$V$64,0))="","",INDEX(Requirements!$C$5:$C$64,MATCH(SMALL(Requirements!$V$5:$V$64,2),Requirements!$V$5:$V$64,0))),"")</f>
        <v>New disputes are received from the processor automatically without duplicates, and status changes are reflected within 5 minutes.</v>
      </c>
      <c r="D57" s="13" t="str">
        <f aca="false">IFERROR(IF(INDEX(Requirements!$S$5:$S$64,MATCH(SMALL(Requirements!$V$5:$V$64,2),Requirements!$V$5:$V$64,0))="","",INDEX(Requirements!$S$5:$S$64,MATCH(SMALL(Requirements!$V$5:$V$64,2),Requirements!$V$5:$V$64,0))),"")</f>
        <v>Failing</v>
      </c>
      <c r="E57" s="13" t="n">
        <f aca="false">IFERROR(IF(INDEX(Requirements!$O$5:$O$64,MATCH(SMALL(Requirements!$V$5:$V$64,2),Requirements!$V$5:$V$64,0))="","",INDEX(Requirements!$O$5:$O$64,MATCH(SMALL(Requirements!$V$5:$V$64,2),Requirements!$V$5:$V$64,0))),"")</f>
        <v>1</v>
      </c>
      <c r="F57" s="13" t="n">
        <f aca="false">IFERROR(IF(INDEX(Requirements!$P$5:$P$64,MATCH(SMALL(Requirements!$V$5:$V$64,2),Requirements!$V$5:$V$64,0))="","",INDEX(Requirements!$P$5:$P$64,MATCH(SMALL(Requirements!$V$5:$V$64,2),Requirements!$V$5:$V$64,0))),"")</f>
        <v>1</v>
      </c>
      <c r="G57" s="13" t="n">
        <f aca="false">IFERROR(IF(INDEX(Requirements!$R$5:$R$64,MATCH(SMALL(Requirements!$V$5:$V$64,2),Requirements!$V$5:$V$64,0))="","",INDEX(Requirements!$R$5:$R$64,MATCH(SMALL(Requirements!$V$5:$V$64,2),Requirements!$V$5:$V$64,0))),"")</f>
        <v>1</v>
      </c>
      <c r="H57" s="12" t="str">
        <f aca="false">IFERROR(IF(INDEX(Requirements!$H$5:$H$64,MATCH(SMALL(Requirements!$V$5:$V$64,2),Requirements!$V$5:$V$64,0))="","",INDEX(Requirements!$H$5:$H$64,MATCH(SMALL(Requirements!$V$5:$V$64,2),Requirements!$V$5:$V$64,0))),"")</f>
        <v>US-018, US-019, US-020</v>
      </c>
      <c r="I57" s="12" t="str">
        <f aca="false">IFERROR(IF(INDEX(Requirements!$J$5:$J$64,MATCH(SMALL(Requirements!$V$5:$V$64,2),Requirements!$V$5:$V$64,0))="","",INDEX(Requirements!$J$5:$J$64,MATCH(SMALL(Requirements!$V$5:$V$64,2),Requirements!$V$5:$V$64,0))),"")</f>
        <v>A-02, I-01, D-01</v>
      </c>
    </row>
    <row r="58" customFormat="false" ht="45.75" hidden="false" customHeight="true" outlineLevel="0" collapsed="false">
      <c r="B58" s="13" t="str">
        <f aca="false">IFERROR(IF(INDEX(Requirements!$A$5:$A$64,MATCH(SMALL(Requirements!$V$5:$V$64,3),Requirements!$V$5:$V$64,0))="","",INDEX(Requirements!$A$5:$A$64,MATCH(SMALL(Requirements!$V$5:$V$64,3),Requirements!$V$5:$V$64,0))),"")</f>
        <v>BR-20</v>
      </c>
      <c r="C58" s="12" t="str">
        <f aca="false">IFERROR(IF(INDEX(Requirements!$C$5:$C$64,MATCH(SMALL(Requirements!$V$5:$V$64,3),Requirements!$V$5:$V$64,0))="","",INDEX(Requirements!$C$5:$C$64,MATCH(SMALL(Requirements!$V$5:$V$64,3),Requirements!$V$5:$V$64,0))),"")</f>
        <v>Product team can measure pilot adoption without collecting personal or card data.</v>
      </c>
      <c r="D58" s="13" t="str">
        <f aca="false">IFERROR(IF(INDEX(Requirements!$S$5:$S$64,MATCH(SMALL(Requirements!$V$5:$V$64,3),Requirements!$V$5:$V$64,0))="","",INDEX(Requirements!$S$5:$S$64,MATCH(SMALL(Requirements!$V$5:$V$64,3),Requirements!$V$5:$V$64,0))),"")</f>
        <v>Blocked</v>
      </c>
      <c r="E58" s="13" t="n">
        <f aca="false">IFERROR(IF(INDEX(Requirements!$O$5:$O$64,MATCH(SMALL(Requirements!$V$5:$V$64,3),Requirements!$V$5:$V$64,0))="","",INDEX(Requirements!$O$5:$O$64,MATCH(SMALL(Requirements!$V$5:$V$64,3),Requirements!$V$5:$V$64,0))),"")</f>
        <v>0</v>
      </c>
      <c r="F58" s="13" t="n">
        <f aca="false">IFERROR(IF(INDEX(Requirements!$P$5:$P$64,MATCH(SMALL(Requirements!$V$5:$V$64,3),Requirements!$V$5:$V$64,0))="","",INDEX(Requirements!$P$5:$P$64,MATCH(SMALL(Requirements!$V$5:$V$64,3),Requirements!$V$5:$V$64,0))),"")</f>
        <v>1</v>
      </c>
      <c r="G58" s="13" t="n">
        <f aca="false">IFERROR(IF(INDEX(Requirements!$R$5:$R$64,MATCH(SMALL(Requirements!$V$5:$V$64,3),Requirements!$V$5:$V$64,0))="","",INDEX(Requirements!$R$5:$R$64,MATCH(SMALL(Requirements!$V$5:$V$64,3),Requirements!$V$5:$V$64,0))),"")</f>
        <v>0</v>
      </c>
      <c r="H58" s="12" t="str">
        <f aca="false">IFERROR(IF(INDEX(Requirements!$H$5:$H$64,MATCH(SMALL(Requirements!$V$5:$V$64,3),Requirements!$V$5:$V$64,0))="","",INDEX(Requirements!$H$5:$H$64,MATCH(SMALL(Requirements!$V$5:$V$64,3),Requirements!$V$5:$V$64,0))),"")</f>
        <v>US-034, US-005</v>
      </c>
      <c r="I58" s="12" t="str">
        <f aca="false">IFERROR(IF(INDEX(Requirements!$J$5:$J$64,MATCH(SMALL(Requirements!$V$5:$V$64,3),Requirements!$V$5:$V$64,0))="","",INDEX(Requirements!$J$5:$J$64,MATCH(SMALL(Requirements!$V$5:$V$64,3),Requirements!$V$5:$V$64,0))),"")</f>
        <v>R-04, I-06</v>
      </c>
    </row>
    <row r="59" customFormat="false" ht="45.75" hidden="false" customHeight="true" outlineLevel="0" collapsed="false">
      <c r="B59" s="13" t="str">
        <f aca="false">IFERROR(IF(INDEX(Requirements!$A$5:$A$64,MATCH(SMALL(Requirements!$V$5:$V$64,4),Requirements!$V$5:$V$64,0))="","",INDEX(Requirements!$A$5:$A$64,MATCH(SMALL(Requirements!$V$5:$V$64,4),Requirements!$V$5:$V$64,0))),"")</f>
        <v>BR-22</v>
      </c>
      <c r="C59" s="12" t="str">
        <f aca="false">IFERROR(IF(INDEX(Requirements!$C$5:$C$64,MATCH(SMALL(Requirements!$V$5:$V$64,4),Requirements!$V$5:$V$64,0))="","",INDEX(Requirements!$C$5:$C$64,MATCH(SMALL(Requirements!$V$5:$V$64,4),Requirements!$V$5:$V$64,0))),"")</f>
        <v>Evidence files are retained and deleted in line with the records retention policy.</v>
      </c>
      <c r="D59" s="13" t="str">
        <f aca="false">IFERROR(IF(INDEX(Requirements!$S$5:$S$64,MATCH(SMALL(Requirements!$V$5:$V$64,4),Requirements!$V$5:$V$64,0))="","",INDEX(Requirements!$S$5:$S$64,MATCH(SMALL(Requirements!$V$5:$V$64,4),Requirements!$V$5:$V$64,0))),"")</f>
        <v>No test coverage</v>
      </c>
      <c r="E59" s="13" t="n">
        <f aca="false">IFERROR(IF(INDEX(Requirements!$O$5:$O$64,MATCH(SMALL(Requirements!$V$5:$V$64,4),Requirements!$V$5:$V$64,0))="","",INDEX(Requirements!$O$5:$O$64,MATCH(SMALL(Requirements!$V$5:$V$64,4),Requirements!$V$5:$V$64,0))),"")</f>
        <v>0</v>
      </c>
      <c r="F59" s="13" t="n">
        <f aca="false">IFERROR(IF(INDEX(Requirements!$P$5:$P$64,MATCH(SMALL(Requirements!$V$5:$V$64,4),Requirements!$V$5:$V$64,0))="","",INDEX(Requirements!$P$5:$P$64,MATCH(SMALL(Requirements!$V$5:$V$64,4),Requirements!$V$5:$V$64,0))),"")</f>
        <v>0</v>
      </c>
      <c r="G59" s="13" t="n">
        <f aca="false">IFERROR(IF(INDEX(Requirements!$R$5:$R$64,MATCH(SMALL(Requirements!$V$5:$V$64,4),Requirements!$V$5:$V$64,0))="","",INDEX(Requirements!$R$5:$R$64,MATCH(SMALL(Requirements!$V$5:$V$64,4),Requirements!$V$5:$V$64,0))),"")</f>
        <v>0</v>
      </c>
      <c r="H59" s="12" t="str">
        <f aca="false">IFERROR(IF(INDEX(Requirements!$H$5:$H$64,MATCH(SMALL(Requirements!$V$5:$V$64,4),Requirements!$V$5:$V$64,0))="","",INDEX(Requirements!$H$5:$H$64,MATCH(SMALL(Requirements!$V$5:$V$64,4),Requirements!$V$5:$V$64,0))),"")</f>
        <v>US-014</v>
      </c>
      <c r="I59" s="12" t="str">
        <f aca="false">IFERROR(IF(INDEX(Requirements!$J$5:$J$64,MATCH(SMALL(Requirements!$V$5:$V$64,4),Requirements!$V$5:$V$64,0))="","",INDEX(Requirements!$J$5:$J$64,MATCH(SMALL(Requirements!$V$5:$V$64,4),Requirements!$V$5:$V$64,0))),"")</f>
        <v>A-07</v>
      </c>
    </row>
    <row r="60" customFormat="false" ht="45.75" hidden="false" customHeight="true" outlineLevel="0" collapsed="false">
      <c r="B60" s="13" t="str">
        <f aca="false">IFERROR(IF(INDEX(Requirements!$A$5:$A$64,MATCH(SMALL(Requirements!$V$5:$V$64,5),Requirements!$V$5:$V$64,0))="","",INDEX(Requirements!$A$5:$A$64,MATCH(SMALL(Requirements!$V$5:$V$64,5),Requirements!$V$5:$V$64,0))),"")</f>
        <v/>
      </c>
      <c r="C60" s="12" t="str">
        <f aca="false">IFERROR(IF(INDEX(Requirements!$C$5:$C$64,MATCH(SMALL(Requirements!$V$5:$V$64,5),Requirements!$V$5:$V$64,0))="","",INDEX(Requirements!$C$5:$C$64,MATCH(SMALL(Requirements!$V$5:$V$64,5),Requirements!$V$5:$V$64,0))),"")</f>
        <v/>
      </c>
      <c r="D60" s="13" t="str">
        <f aca="false">IFERROR(IF(INDEX(Requirements!$S$5:$S$64,MATCH(SMALL(Requirements!$V$5:$V$64,5),Requirements!$V$5:$V$64,0))="","",INDEX(Requirements!$S$5:$S$64,MATCH(SMALL(Requirements!$V$5:$V$64,5),Requirements!$V$5:$V$64,0))),"")</f>
        <v/>
      </c>
      <c r="E60" s="13" t="str">
        <f aca="false">IFERROR(IF(INDEX(Requirements!$O$5:$O$64,MATCH(SMALL(Requirements!$V$5:$V$64,5),Requirements!$V$5:$V$64,0))="","",INDEX(Requirements!$O$5:$O$64,MATCH(SMALL(Requirements!$V$5:$V$64,5),Requirements!$V$5:$V$64,0))),"")</f>
        <v/>
      </c>
      <c r="F60" s="13" t="str">
        <f aca="false">IFERROR(IF(INDEX(Requirements!$P$5:$P$64,MATCH(SMALL(Requirements!$V$5:$V$64,5),Requirements!$V$5:$V$64,0))="","",INDEX(Requirements!$P$5:$P$64,MATCH(SMALL(Requirements!$V$5:$V$64,5),Requirements!$V$5:$V$64,0))),"")</f>
        <v/>
      </c>
      <c r="G60" s="13" t="str">
        <f aca="false">IFERROR(IF(INDEX(Requirements!$R$5:$R$64,MATCH(SMALL(Requirements!$V$5:$V$64,5),Requirements!$V$5:$V$64,0))="","",INDEX(Requirements!$R$5:$R$64,MATCH(SMALL(Requirements!$V$5:$V$64,5),Requirements!$V$5:$V$64,0))),"")</f>
        <v/>
      </c>
      <c r="H60" s="12" t="str">
        <f aca="false">IFERROR(IF(INDEX(Requirements!$H$5:$H$64,MATCH(SMALL(Requirements!$V$5:$V$64,5),Requirements!$V$5:$V$64,0))="","",INDEX(Requirements!$H$5:$H$64,MATCH(SMALL(Requirements!$V$5:$V$64,5),Requirements!$V$5:$V$64,0))),"")</f>
        <v/>
      </c>
      <c r="I60" s="12" t="str">
        <f aca="false">IFERROR(IF(INDEX(Requirements!$J$5:$J$64,MATCH(SMALL(Requirements!$V$5:$V$64,5),Requirements!$V$5:$V$64,0))="","",INDEX(Requirements!$J$5:$J$64,MATCH(SMALL(Requirements!$V$5:$V$64,5),Requirements!$V$5:$V$64,0))),"")</f>
        <v/>
      </c>
    </row>
    <row r="61" customFormat="false" ht="45.75" hidden="false" customHeight="true" outlineLevel="0" collapsed="false">
      <c r="B61" s="13" t="str">
        <f aca="false">IFERROR(IF(INDEX(Requirements!$A$5:$A$64,MATCH(SMALL(Requirements!$V$5:$V$64,6),Requirements!$V$5:$V$64,0))="","",INDEX(Requirements!$A$5:$A$64,MATCH(SMALL(Requirements!$V$5:$V$64,6),Requirements!$V$5:$V$64,0))),"")</f>
        <v/>
      </c>
      <c r="C61" s="12" t="str">
        <f aca="false">IFERROR(IF(INDEX(Requirements!$C$5:$C$64,MATCH(SMALL(Requirements!$V$5:$V$64,6),Requirements!$V$5:$V$64,0))="","",INDEX(Requirements!$C$5:$C$64,MATCH(SMALL(Requirements!$V$5:$V$64,6),Requirements!$V$5:$V$64,0))),"")</f>
        <v/>
      </c>
      <c r="D61" s="13" t="str">
        <f aca="false">IFERROR(IF(INDEX(Requirements!$S$5:$S$64,MATCH(SMALL(Requirements!$V$5:$V$64,6),Requirements!$V$5:$V$64,0))="","",INDEX(Requirements!$S$5:$S$64,MATCH(SMALL(Requirements!$V$5:$V$64,6),Requirements!$V$5:$V$64,0))),"")</f>
        <v/>
      </c>
      <c r="E61" s="13" t="str">
        <f aca="false">IFERROR(IF(INDEX(Requirements!$O$5:$O$64,MATCH(SMALL(Requirements!$V$5:$V$64,6),Requirements!$V$5:$V$64,0))="","",INDEX(Requirements!$O$5:$O$64,MATCH(SMALL(Requirements!$V$5:$V$64,6),Requirements!$V$5:$V$64,0))),"")</f>
        <v/>
      </c>
      <c r="F61" s="13" t="str">
        <f aca="false">IFERROR(IF(INDEX(Requirements!$P$5:$P$64,MATCH(SMALL(Requirements!$V$5:$V$64,6),Requirements!$V$5:$V$64,0))="","",INDEX(Requirements!$P$5:$P$64,MATCH(SMALL(Requirements!$V$5:$V$64,6),Requirements!$V$5:$V$64,0))),"")</f>
        <v/>
      </c>
      <c r="G61" s="13" t="str">
        <f aca="false">IFERROR(IF(INDEX(Requirements!$R$5:$R$64,MATCH(SMALL(Requirements!$V$5:$V$64,6),Requirements!$V$5:$V$64,0))="","",INDEX(Requirements!$R$5:$R$64,MATCH(SMALL(Requirements!$V$5:$V$64,6),Requirements!$V$5:$V$64,0))),"")</f>
        <v/>
      </c>
      <c r="H61" s="12" t="str">
        <f aca="false">IFERROR(IF(INDEX(Requirements!$H$5:$H$64,MATCH(SMALL(Requirements!$V$5:$V$64,6),Requirements!$V$5:$V$64,0))="","",INDEX(Requirements!$H$5:$H$64,MATCH(SMALL(Requirements!$V$5:$V$64,6),Requirements!$V$5:$V$64,0))),"")</f>
        <v/>
      </c>
      <c r="I61" s="12" t="str">
        <f aca="false">IFERROR(IF(INDEX(Requirements!$J$5:$J$64,MATCH(SMALL(Requirements!$V$5:$V$64,6),Requirements!$V$5:$V$64,0))="","",INDEX(Requirements!$J$5:$J$64,MATCH(SMALL(Requirements!$V$5:$V$64,6),Requirements!$V$5:$V$64,0))),"")</f>
        <v/>
      </c>
    </row>
    <row r="63" customFormat="false" ht="19.5" hidden="false" customHeight="true" outlineLevel="0" collapsed="false">
      <c r="B63" s="7" t="s">
        <v>111</v>
      </c>
      <c r="C63" s="8"/>
      <c r="D63" s="8"/>
      <c r="E63" s="8"/>
      <c r="F63" s="8"/>
      <c r="G63" s="8"/>
      <c r="H63" s="8"/>
      <c r="I63" s="8"/>
    </row>
    <row r="64" customFormat="false" ht="30" hidden="false" customHeight="true" outlineLevel="0" collapsed="false">
      <c r="B64" s="10" t="s">
        <v>112</v>
      </c>
      <c r="C64" s="10" t="s">
        <v>113</v>
      </c>
      <c r="D64" s="10" t="s">
        <v>114</v>
      </c>
      <c r="E64" s="10" t="s">
        <v>102</v>
      </c>
      <c r="F64" s="10" t="s">
        <v>103</v>
      </c>
      <c r="G64" s="10" t="s">
        <v>115</v>
      </c>
      <c r="H64" s="10" t="s">
        <v>116</v>
      </c>
      <c r="I64" s="10" t="s">
        <v>117</v>
      </c>
    </row>
    <row r="65" customFormat="false" ht="30" hidden="false" customHeight="true" outlineLevel="0" collapsed="false">
      <c r="B65" s="13" t="str">
        <f aca="false">IF(Controls!$A$5="","",Controls!$A$5)</f>
        <v>CTL-01</v>
      </c>
      <c r="C65" s="12" t="str">
        <f aca="false">IF(Controls!$B$5="","",Controls!$B$5)</f>
        <v>PCI DSS</v>
      </c>
      <c r="D65" s="13" t="n">
        <f aca="false">IF(Controls!$H$5="","",Controls!$H$5)</f>
        <v>5</v>
      </c>
      <c r="E65" s="13" t="n">
        <f aca="false">IF(Controls!$I$5="","",Controls!$I$5)</f>
        <v>0</v>
      </c>
      <c r="F65" s="13" t="n">
        <f aca="false">IF(Controls!$J$5="","",Controls!$J$5)</f>
        <v>0</v>
      </c>
      <c r="G65" s="13" t="str">
        <f aca="false">IF(Controls!$K$5="","",Controls!$K$5)</f>
        <v>Not yet tested</v>
      </c>
      <c r="H65" s="12" t="str">
        <f aca="false">IF(Controls!$G$5="","",Controls!$G$5)</f>
        <v>Compliance Lead</v>
      </c>
      <c r="I65" s="13" t="str">
        <f aca="false">IF(Controls!$L$5="","",Controls!$L$5)</f>
        <v>Not Started</v>
      </c>
    </row>
    <row r="66" customFormat="false" ht="30" hidden="false" customHeight="true" outlineLevel="0" collapsed="false">
      <c r="B66" s="13" t="str">
        <f aca="false">IF(Controls!$A$6="","",Controls!$A$6)</f>
        <v>CTL-02</v>
      </c>
      <c r="C66" s="12" t="str">
        <f aca="false">IF(Controls!$B$6="","",Controls!$B$6)</f>
        <v>PCI DSS / Security Policy</v>
      </c>
      <c r="D66" s="13" t="n">
        <f aca="false">IF(Controls!$H$6="","",Controls!$H$6)</f>
        <v>2</v>
      </c>
      <c r="E66" s="13" t="n">
        <f aca="false">IF(Controls!$I$6="","",Controls!$I$6)</f>
        <v>0</v>
      </c>
      <c r="F66" s="13" t="n">
        <f aca="false">IF(Controls!$J$6="","",Controls!$J$6)</f>
        <v>0</v>
      </c>
      <c r="G66" s="13" t="str">
        <f aca="false">IF(Controls!$K$6="","",Controls!$K$6)</f>
        <v>Not yet tested</v>
      </c>
      <c r="H66" s="12" t="str">
        <f aca="false">IF(Controls!$G$6="","",Controls!$G$6)</f>
        <v>InfoSec Lead</v>
      </c>
      <c r="I66" s="13" t="str">
        <f aca="false">IF(Controls!$L$6="","",Controls!$L$6)</f>
        <v>Not Started</v>
      </c>
    </row>
    <row r="67" customFormat="false" ht="30" hidden="false" customHeight="true" outlineLevel="0" collapsed="false">
      <c r="B67" s="13" t="str">
        <f aca="false">IF(Controls!$A$7="","",Controls!$A$7)</f>
        <v>CTL-03</v>
      </c>
      <c r="C67" s="12" t="str">
        <f aca="false">IF(Controls!$B$7="","",Controls!$B$7)</f>
        <v>Internal Audit Policy</v>
      </c>
      <c r="D67" s="13" t="n">
        <f aca="false">IF(Controls!$H$7="","",Controls!$H$7)</f>
        <v>2</v>
      </c>
      <c r="E67" s="13" t="n">
        <f aca="false">IF(Controls!$I$7="","",Controls!$I$7)</f>
        <v>0</v>
      </c>
      <c r="F67" s="13" t="n">
        <f aca="false">IF(Controls!$J$7="","",Controls!$J$7)</f>
        <v>0</v>
      </c>
      <c r="G67" s="13" t="str">
        <f aca="false">IF(Controls!$K$7="","",Controls!$K$7)</f>
        <v>Not yet tested</v>
      </c>
      <c r="H67" s="12" t="str">
        <f aca="false">IF(Controls!$G$7="","",Controls!$G$7)</f>
        <v>Compliance Lead</v>
      </c>
      <c r="I67" s="13" t="str">
        <f aca="false">IF(Controls!$L$7="","",Controls!$L$7)</f>
        <v>Not Started</v>
      </c>
    </row>
    <row r="68" customFormat="false" ht="30" hidden="false" customHeight="true" outlineLevel="0" collapsed="false">
      <c r="B68" s="13" t="str">
        <f aca="false">IF(Controls!$A$8="","",Controls!$A$8)</f>
        <v>CTL-04</v>
      </c>
      <c r="C68" s="12" t="str">
        <f aca="false">IF(Controls!$B$8="","",Controls!$B$8)</f>
        <v>Data Privacy</v>
      </c>
      <c r="D68" s="13" t="n">
        <f aca="false">IF(Controls!$H$8="","",Controls!$H$8)</f>
        <v>3</v>
      </c>
      <c r="E68" s="13" t="n">
        <f aca="false">IF(Controls!$I$8="","",Controls!$I$8)</f>
        <v>0</v>
      </c>
      <c r="F68" s="13" t="n">
        <f aca="false">IF(Controls!$J$8="","",Controls!$J$8)</f>
        <v>0</v>
      </c>
      <c r="G68" s="13" t="str">
        <f aca="false">IF(Controls!$K$8="","",Controls!$K$8)</f>
        <v>Not yet tested</v>
      </c>
      <c r="H68" s="12" t="str">
        <f aca="false">IF(Controls!$G$8="","",Controls!$G$8)</f>
        <v>Data Protection Lead</v>
      </c>
      <c r="I68" s="13" t="str">
        <f aca="false">IF(Controls!$L$8="","",Controls!$L$8)</f>
        <v>Not Started</v>
      </c>
    </row>
    <row r="69" customFormat="false" ht="30" hidden="false" customHeight="true" outlineLevel="0" collapsed="false">
      <c r="B69" s="13" t="str">
        <f aca="false">IF(Controls!$A$9="","",Controls!$A$9)</f>
        <v>CTL-05</v>
      </c>
      <c r="C69" s="12" t="str">
        <f aca="false">IF(Controls!$B$9="","",Controls!$B$9)</f>
        <v>Access Control Policy</v>
      </c>
      <c r="D69" s="13" t="n">
        <f aca="false">IF(Controls!$H$9="","",Controls!$H$9)</f>
        <v>6</v>
      </c>
      <c r="E69" s="13" t="n">
        <f aca="false">IF(Controls!$I$9="","",Controls!$I$9)</f>
        <v>2</v>
      </c>
      <c r="F69" s="13" t="n">
        <f aca="false">IF(Controls!$J$9="","",Controls!$J$9)</f>
        <v>1</v>
      </c>
      <c r="G69" s="13" t="str">
        <f aca="false">IF(Controls!$K$9="","",Controls!$K$9)</f>
        <v>Failing</v>
      </c>
      <c r="H69" s="12" t="str">
        <f aca="false">IF(Controls!$G$9="","",Controls!$G$9)</f>
        <v>InfoSec Lead</v>
      </c>
      <c r="I69" s="13" t="str">
        <f aca="false">IF(Controls!$L$9="","",Controls!$L$9)</f>
        <v>Not Started</v>
      </c>
    </row>
    <row r="70" customFormat="false" ht="30" hidden="false" customHeight="true" outlineLevel="0" collapsed="false">
      <c r="B70" s="13" t="str">
        <f aca="false">IF(Controls!$A$10="","",Controls!$A$10)</f>
        <v>CTL-06</v>
      </c>
      <c r="C70" s="12" t="str">
        <f aca="false">IF(Controls!$B$10="","",Controls!$B$10)</f>
        <v>Card Network Rules</v>
      </c>
      <c r="D70" s="13" t="n">
        <f aca="false">IF(Controls!$H$10="","",Controls!$H$10)</f>
        <v>5</v>
      </c>
      <c r="E70" s="13" t="n">
        <f aca="false">IF(Controls!$I$10="","",Controls!$I$10)</f>
        <v>4</v>
      </c>
      <c r="F70" s="13" t="n">
        <f aca="false">IF(Controls!$J$10="","",Controls!$J$10)</f>
        <v>0</v>
      </c>
      <c r="G70" s="13" t="str">
        <f aca="false">IF(Controls!$K$10="","",Controls!$K$10)</f>
        <v>Partially evidenced</v>
      </c>
      <c r="H70" s="12" t="str">
        <f aca="false">IF(Controls!$G$10="","",Controls!$G$10)</f>
        <v>Dispute Ops Lead</v>
      </c>
      <c r="I70" s="13" t="str">
        <f aca="false">IF(Controls!$L$10="","",Controls!$L$10)</f>
        <v>Not Started</v>
      </c>
    </row>
    <row r="71" customFormat="false" ht="30" hidden="false" customHeight="true" outlineLevel="0" collapsed="false">
      <c r="B71" s="13" t="str">
        <f aca="false">IF(Controls!$A$11="","",Controls!$A$11)</f>
        <v>CTL-07</v>
      </c>
      <c r="C71" s="12" t="str">
        <f aca="false">IF(Controls!$B$11="","",Controls!$B$11)</f>
        <v>Accessibility (WCAG 2.1 AA)</v>
      </c>
      <c r="D71" s="13" t="n">
        <f aca="false">IF(Controls!$H$11="","",Controls!$H$11)</f>
        <v>2</v>
      </c>
      <c r="E71" s="13" t="n">
        <f aca="false">IF(Controls!$I$11="","",Controls!$I$11)</f>
        <v>0</v>
      </c>
      <c r="F71" s="13" t="n">
        <f aca="false">IF(Controls!$J$11="","",Controls!$J$11)</f>
        <v>0</v>
      </c>
      <c r="G71" s="13" t="str">
        <f aca="false">IF(Controls!$K$11="","",Controls!$K$11)</f>
        <v>Not yet tested</v>
      </c>
      <c r="H71" s="12" t="str">
        <f aca="false">IF(Controls!$G$11="","",Controls!$G$11)</f>
        <v>UX Designer</v>
      </c>
      <c r="I71" s="13" t="str">
        <f aca="false">IF(Controls!$L$11="","",Controls!$L$11)</f>
        <v>Not Started</v>
      </c>
    </row>
    <row r="72" customFormat="false" ht="30" hidden="false" customHeight="true" outlineLevel="0" collapsed="false">
      <c r="B72" s="13" t="str">
        <f aca="false">IF(Controls!$A$12="","",Controls!$A$12)</f>
        <v>CTL-08</v>
      </c>
      <c r="C72" s="12" t="str">
        <f aca="false">IF(Controls!$B$12="","",Controls!$B$12)</f>
        <v>Security Testing Policy</v>
      </c>
      <c r="D72" s="13" t="n">
        <f aca="false">IF(Controls!$H$12="","",Controls!$H$12)</f>
        <v>1</v>
      </c>
      <c r="E72" s="13" t="n">
        <f aca="false">IF(Controls!$I$12="","",Controls!$I$12)</f>
        <v>0</v>
      </c>
      <c r="F72" s="13" t="n">
        <f aca="false">IF(Controls!$J$12="","",Controls!$J$12)</f>
        <v>0</v>
      </c>
      <c r="G72" s="13" t="str">
        <f aca="false">IF(Controls!$K$12="","",Controls!$K$12)</f>
        <v>Not yet tested</v>
      </c>
      <c r="H72" s="12" t="str">
        <f aca="false">IF(Controls!$G$12="","",Controls!$G$12)</f>
        <v>InfoSec Lead</v>
      </c>
      <c r="I72" s="13" t="str">
        <f aca="false">IF(Controls!$L$12="","",Controls!$L$12)</f>
        <v>Not Started</v>
      </c>
    </row>
    <row r="73" customFormat="false" ht="30" hidden="false" customHeight="true" outlineLevel="0" collapsed="false">
      <c r="B73" s="13" t="str">
        <f aca="false">IF(Controls!$A$13="","",Controls!$A$13)</f>
        <v>CTL-09</v>
      </c>
      <c r="C73" s="12" t="str">
        <f aca="false">IF(Controls!$B$13="","",Controls!$B$13)</f>
        <v>Records Retention Policy</v>
      </c>
      <c r="D73" s="13" t="n">
        <f aca="false">IF(Controls!$H$13="","",Controls!$H$13)</f>
        <v>0</v>
      </c>
      <c r="E73" s="13" t="n">
        <f aca="false">IF(Controls!$I$13="","",Controls!$I$13)</f>
        <v>0</v>
      </c>
      <c r="F73" s="13" t="n">
        <f aca="false">IF(Controls!$J$13="","",Controls!$J$13)</f>
        <v>0</v>
      </c>
      <c r="G73" s="13" t="str">
        <f aca="false">IF(Controls!$K$13="","",Controls!$K$13)</f>
        <v>No test coverage</v>
      </c>
      <c r="H73" s="12" t="str">
        <f aca="false">IF(Controls!$G$13="","",Controls!$G$13)</f>
        <v>Legal Counsel</v>
      </c>
      <c r="I73" s="13" t="str">
        <f aca="false">IF(Controls!$L$13="","",Controls!$L$13)</f>
        <v>Not Started</v>
      </c>
    </row>
  </sheetData>
  <mergeCells count="52">
    <mergeCell ref="C6:D6"/>
    <mergeCell ref="C7:D7"/>
    <mergeCell ref="C8:D8"/>
    <mergeCell ref="C9:D9"/>
    <mergeCell ref="B12:C12"/>
    <mergeCell ref="D12:E12"/>
    <mergeCell ref="F12:I12"/>
    <mergeCell ref="B13:C13"/>
    <mergeCell ref="D13:E13"/>
    <mergeCell ref="F13:I13"/>
    <mergeCell ref="B14:C14"/>
    <mergeCell ref="D14:E14"/>
    <mergeCell ref="F14:I14"/>
    <mergeCell ref="B15:C15"/>
    <mergeCell ref="D15:E15"/>
    <mergeCell ref="F15:I15"/>
    <mergeCell ref="B16:C16"/>
    <mergeCell ref="D16:E16"/>
    <mergeCell ref="F16:I16"/>
    <mergeCell ref="B17:C17"/>
    <mergeCell ref="D17:E17"/>
    <mergeCell ref="F17:I17"/>
    <mergeCell ref="B18:C18"/>
    <mergeCell ref="D18:E18"/>
    <mergeCell ref="F18:I18"/>
    <mergeCell ref="B19:C19"/>
    <mergeCell ref="D19:E19"/>
    <mergeCell ref="F19:I19"/>
    <mergeCell ref="B22:C22"/>
    <mergeCell ref="H22:I22"/>
    <mergeCell ref="B23:C23"/>
    <mergeCell ref="H23:I23"/>
    <mergeCell ref="B24:C24"/>
    <mergeCell ref="H24:I24"/>
    <mergeCell ref="B25:C25"/>
    <mergeCell ref="H25:I25"/>
    <mergeCell ref="B26:C26"/>
    <mergeCell ref="H26:I26"/>
    <mergeCell ref="B27:C27"/>
    <mergeCell ref="H27:I27"/>
    <mergeCell ref="B28:C28"/>
    <mergeCell ref="H28:I28"/>
    <mergeCell ref="B29:C29"/>
    <mergeCell ref="H29:I29"/>
    <mergeCell ref="B30:C30"/>
    <mergeCell ref="H30:I30"/>
    <mergeCell ref="B33:C33"/>
    <mergeCell ref="B34:C34"/>
    <mergeCell ref="B35:C35"/>
    <mergeCell ref="B36:C36"/>
    <mergeCell ref="B37:C37"/>
    <mergeCell ref="B38:C38"/>
  </mergeCells>
  <conditionalFormatting sqref="B13:B19">
    <cfRule type="cellIs" priority="2" operator="equal" aboveAverage="0" equalAverage="0" bottom="0" percent="0" rank="0" text="" dxfId="0">
      <formula>"Verified"</formula>
    </cfRule>
    <cfRule type="cellIs" priority="3" operator="equal" aboveAverage="0" equalAverage="0" bottom="0" percent="0" rank="0" text="" dxfId="0">
      <formula>"Evidenced"</formula>
    </cfRule>
    <cfRule type="cellIs" priority="4" operator="equal" aboveAverage="0" equalAverage="0" bottom="0" percent="0" rank="0" text="" dxfId="1">
      <formula>"Partially verified"</formula>
    </cfRule>
    <cfRule type="cellIs" priority="5" operator="equal" aboveAverage="0" equalAverage="0" bottom="0" percent="0" rank="0" text="" dxfId="1">
      <formula>"Partially evidenced"</formula>
    </cfRule>
    <cfRule type="cellIs" priority="6" operator="equal" aboveAverage="0" equalAverage="0" bottom="0" percent="0" rank="0" text="" dxfId="2">
      <formula>"Not yet tested"</formula>
    </cfRule>
    <cfRule type="cellIs" priority="7" operator="equal" aboveAverage="0" equalAverage="0" bottom="0" percent="0" rank="0" text="" dxfId="3">
      <formula>"Blocked"</formula>
    </cfRule>
    <cfRule type="cellIs" priority="8" operator="equal" aboveAverage="0" equalAverage="0" bottom="0" percent="0" rank="0" text="" dxfId="4">
      <formula>"Failing"</formula>
    </cfRule>
    <cfRule type="cellIs" priority="9" operator="equal" aboveAverage="0" equalAverage="0" bottom="0" percent="0" rank="0" text="" dxfId="4">
      <formula>"No test coverage"</formula>
    </cfRule>
    <cfRule type="cellIs" priority="10" operator="equal" aboveAverage="0" equalAverage="0" bottom="0" percent="0" rank="0" text="" dxfId="2">
      <formula>"Not in scope yet"</formula>
    </cfRule>
  </conditionalFormatting>
  <conditionalFormatting sqref="G23:G30">
    <cfRule type="cellIs" priority="11" operator="greaterThan" aboveAverage="0" equalAverage="0" bottom="0" percent="0" rank="0" text="" dxfId="4">
      <formula>0</formula>
    </cfRule>
  </conditionalFormatting>
  <conditionalFormatting sqref="H23:H30">
    <cfRule type="dataBar" priority="12">
      <dataBar showValue="1" minLength="10" maxLength="90">
        <cfvo type="num" val="0"/>
        <cfvo type="num" val="1"/>
        <color rgb="FF5B9BD5"/>
      </dataBar>
      <extLst>
        <ext xmlns:x14="http://schemas.microsoft.com/office/spreadsheetml/2009/9/main" uri="{B025F937-C7B1-47D3-B67F-A62EFF666E3E}">
          <x14:id>{D8FB2721-EDA0-4CFC-B030-2B30B39F8B57}</x14:id>
        </ext>
      </extLst>
    </cfRule>
  </conditionalFormatting>
  <conditionalFormatting sqref="D56:D61">
    <cfRule type="cellIs" priority="13" operator="equal" aboveAverage="0" equalAverage="0" bottom="0" percent="0" rank="0" text="" dxfId="0">
      <formula>"Verified"</formula>
    </cfRule>
    <cfRule type="cellIs" priority="14" operator="equal" aboveAverage="0" equalAverage="0" bottom="0" percent="0" rank="0" text="" dxfId="0">
      <formula>"Evidenced"</formula>
    </cfRule>
    <cfRule type="cellIs" priority="15" operator="equal" aboveAverage="0" equalAverage="0" bottom="0" percent="0" rank="0" text="" dxfId="1">
      <formula>"Partially verified"</formula>
    </cfRule>
    <cfRule type="cellIs" priority="16" operator="equal" aboveAverage="0" equalAverage="0" bottom="0" percent="0" rank="0" text="" dxfId="1">
      <formula>"Partially evidenced"</formula>
    </cfRule>
    <cfRule type="cellIs" priority="17" operator="equal" aboveAverage="0" equalAverage="0" bottom="0" percent="0" rank="0" text="" dxfId="2">
      <formula>"Not yet tested"</formula>
    </cfRule>
    <cfRule type="cellIs" priority="18" operator="equal" aboveAverage="0" equalAverage="0" bottom="0" percent="0" rank="0" text="" dxfId="3">
      <formula>"Blocked"</formula>
    </cfRule>
    <cfRule type="cellIs" priority="19" operator="equal" aboveAverage="0" equalAverage="0" bottom="0" percent="0" rank="0" text="" dxfId="4">
      <formula>"Failing"</formula>
    </cfRule>
    <cfRule type="cellIs" priority="20" operator="equal" aboveAverage="0" equalAverage="0" bottom="0" percent="0" rank="0" text="" dxfId="4">
      <formula>"No test coverage"</formula>
    </cfRule>
    <cfRule type="cellIs" priority="21" operator="equal" aboveAverage="0" equalAverage="0" bottom="0" percent="0" rank="0" text="" dxfId="2">
      <formula>"Not in scope yet"</formula>
    </cfRule>
  </conditionalFormatting>
  <conditionalFormatting sqref="G65:G73">
    <cfRule type="cellIs" priority="22" operator="equal" aboveAverage="0" equalAverage="0" bottom="0" percent="0" rank="0" text="" dxfId="0">
      <formula>"Verified"</formula>
    </cfRule>
    <cfRule type="cellIs" priority="23" operator="equal" aboveAverage="0" equalAverage="0" bottom="0" percent="0" rank="0" text="" dxfId="0">
      <formula>"Evidenced"</formula>
    </cfRule>
    <cfRule type="cellIs" priority="24" operator="equal" aboveAverage="0" equalAverage="0" bottom="0" percent="0" rank="0" text="" dxfId="1">
      <formula>"Partially verified"</formula>
    </cfRule>
    <cfRule type="cellIs" priority="25" operator="equal" aboveAverage="0" equalAverage="0" bottom="0" percent="0" rank="0" text="" dxfId="1">
      <formula>"Partially evidenced"</formula>
    </cfRule>
    <cfRule type="cellIs" priority="26" operator="equal" aboveAverage="0" equalAverage="0" bottom="0" percent="0" rank="0" text="" dxfId="2">
      <formula>"Not yet tested"</formula>
    </cfRule>
    <cfRule type="cellIs" priority="27" operator="equal" aboveAverage="0" equalAverage="0" bottom="0" percent="0" rank="0" text="" dxfId="3">
      <formula>"Blocked"</formula>
    </cfRule>
    <cfRule type="cellIs" priority="28" operator="equal" aboveAverage="0" equalAverage="0" bottom="0" percent="0" rank="0" text="" dxfId="4">
      <formula>"Failing"</formula>
    </cfRule>
    <cfRule type="cellIs" priority="29" operator="equal" aboveAverage="0" equalAverage="0" bottom="0" percent="0" rank="0" text="" dxfId="4">
      <formula>"No test coverage"</formula>
    </cfRule>
    <cfRule type="cellIs" priority="30" operator="equal" aboveAverage="0" equalAverage="0" bottom="0" percent="0" rank="0" text="" dxfId="2">
      <formula>"Not in scope yet"</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1"/>
  <extLst>
    <ext xmlns:x14="http://schemas.microsoft.com/office/spreadsheetml/2009/9/main" uri="{78C0D931-6437-407d-A8EE-F0AAD7539E65}">
      <x14:conditionalFormattings>
        <x14:conditionalFormatting xmlns:xm="http://schemas.microsoft.com/office/excel/2006/main">
          <x14:cfRule type="dataBar" id="{D8FB2721-EDA0-4CFC-B030-2B30B39F8B57}">
            <x14:dataBar minLength="10" maxLength="90" axisPosition="none" gradient="true">
              <x14:cfvo type="num">
                <xm:f>0</xm:f>
              </x14:cfvo>
              <x14:cfvo type="num">
                <xm:f>1</xm:f>
              </x14:cfvo>
              <x14:negativeFillColor rgb="FF5B9BD5"/>
              <x14:axisColor rgb="FF000000"/>
            </x14:dataBar>
          </x14:cfRule>
          <xm:sqref>H23:H30</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V6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12"/>
    <col collapsed="false" customWidth="true" hidden="false" outlineLevel="0" max="3" min="3" style="0" width="42"/>
    <col collapsed="false" customWidth="true" hidden="false" outlineLevel="0" max="4" min="4" style="0" width="26"/>
    <col collapsed="false" customWidth="true" hidden="false" outlineLevel="0" max="5" min="5" style="0" width="11"/>
    <col collapsed="false" customWidth="true" hidden="false" outlineLevel="0" max="6" min="6" style="0" width="14"/>
    <col collapsed="false" customWidth="true" hidden="false" outlineLevel="0" max="7" min="7" style="0" width="8"/>
    <col collapsed="false" customWidth="true" hidden="false" outlineLevel="0" max="8" min="8" style="0" width="16"/>
    <col collapsed="false" customWidth="true" hidden="false" outlineLevel="0" max="9" min="9" style="0" width="12"/>
    <col collapsed="false" customWidth="true" hidden="false" outlineLevel="0" max="10" min="10" style="0" width="14"/>
    <col collapsed="false" customWidth="true" hidden="false" outlineLevel="0" max="11" min="11" style="0" width="11"/>
    <col collapsed="false" customWidth="true" hidden="false" outlineLevel="0" max="12" min="12" style="0" width="12"/>
    <col collapsed="false" customWidth="true" hidden="false" outlineLevel="0" max="17" min="13" style="0" width="8"/>
    <col collapsed="false" customWidth="true" hidden="false" outlineLevel="0" max="18" min="18" style="0" width="9"/>
    <col collapsed="false" customWidth="true" hidden="false" outlineLevel="0" max="19" min="19" style="0" width="14"/>
    <col collapsed="false" customWidth="true" hidden="false" outlineLevel="0" max="20" min="20" style="0" width="11"/>
    <col collapsed="false" customWidth="true" hidden="false" outlineLevel="0" max="21" min="21" style="0" width="30"/>
    <col collapsed="false" customWidth="true" hidden="true" outlineLevel="0" max="22" min="22" style="0" width="6"/>
  </cols>
  <sheetData>
    <row r="1" customFormat="false" ht="19.7" hidden="false" customHeight="false" outlineLevel="0" collapsed="false">
      <c r="A1" s="25" t="s">
        <v>79</v>
      </c>
    </row>
    <row r="2" customFormat="false" ht="15" hidden="false" customHeight="false" outlineLevel="0" collapsed="false">
      <c r="A2" s="16" t="s">
        <v>118</v>
      </c>
    </row>
    <row r="3" customFormat="false" ht="15" hidden="false" customHeight="false" outlineLevel="0" collapsed="false">
      <c r="A3" s="26" t="s">
        <v>119</v>
      </c>
    </row>
    <row r="4" customFormat="false" ht="39.75" hidden="false" customHeight="true" outlineLevel="0" collapsed="false">
      <c r="A4" s="27" t="s">
        <v>106</v>
      </c>
      <c r="B4" s="27" t="s">
        <v>88</v>
      </c>
      <c r="C4" s="27" t="s">
        <v>107</v>
      </c>
      <c r="D4" s="27" t="s">
        <v>120</v>
      </c>
      <c r="E4" s="27" t="s">
        <v>121</v>
      </c>
      <c r="F4" s="27" t="s">
        <v>122</v>
      </c>
      <c r="G4" s="27" t="s">
        <v>123</v>
      </c>
      <c r="H4" s="27" t="s">
        <v>124</v>
      </c>
      <c r="I4" s="27" t="s">
        <v>125</v>
      </c>
      <c r="J4" s="27" t="s">
        <v>110</v>
      </c>
      <c r="K4" s="27" t="s">
        <v>126</v>
      </c>
      <c r="L4" s="27" t="s">
        <v>127</v>
      </c>
      <c r="M4" s="28" t="s">
        <v>128</v>
      </c>
      <c r="N4" s="28" t="s">
        <v>102</v>
      </c>
      <c r="O4" s="28" t="s">
        <v>103</v>
      </c>
      <c r="P4" s="28" t="s">
        <v>30</v>
      </c>
      <c r="Q4" s="28" t="s">
        <v>104</v>
      </c>
      <c r="R4" s="28" t="s">
        <v>129</v>
      </c>
      <c r="S4" s="28" t="s">
        <v>130</v>
      </c>
      <c r="T4" s="27" t="s">
        <v>131</v>
      </c>
      <c r="U4" s="27" t="s">
        <v>132</v>
      </c>
      <c r="V4" s="28" t="s">
        <v>133</v>
      </c>
    </row>
    <row r="5" customFormat="false" ht="45" hidden="false" customHeight="true" outlineLevel="0" collapsed="false">
      <c r="A5" s="13" t="s">
        <v>134</v>
      </c>
      <c r="B5" s="13" t="s">
        <v>93</v>
      </c>
      <c r="C5" s="12" t="s">
        <v>135</v>
      </c>
      <c r="D5" s="12" t="s">
        <v>136</v>
      </c>
      <c r="E5" s="13" t="s">
        <v>137</v>
      </c>
      <c r="F5" s="12" t="s">
        <v>138</v>
      </c>
      <c r="G5" s="13" t="s">
        <v>139</v>
      </c>
      <c r="H5" s="12" t="s">
        <v>140</v>
      </c>
      <c r="I5" s="12"/>
      <c r="J5" s="12" t="s">
        <v>141</v>
      </c>
      <c r="K5" s="13" t="s">
        <v>142</v>
      </c>
      <c r="L5" s="13" t="s">
        <v>89</v>
      </c>
      <c r="M5" s="29" t="n">
        <f aca="false">IF(A5="","",COUNTIFS('Test Cases'!$B$5:$B$204,A5))</f>
        <v>6</v>
      </c>
      <c r="N5" s="29" t="n">
        <f aca="false">IF(A5="","",COUNTIFS('Test Cases'!$B$5:$B$204,A5,'Test Cases'!$L$5:$L$204,"Passed"))</f>
        <v>4</v>
      </c>
      <c r="O5" s="29" t="n">
        <f aca="false">IF(A5="","",COUNTIFS('Test Cases'!$B$5:$B$204,A5,'Test Cases'!$L$5:$L$204,"Failed"))</f>
        <v>0</v>
      </c>
      <c r="P5" s="29" t="n">
        <f aca="false">IF(A5="","",COUNTIFS('Test Cases'!$B$5:$B$204,A5,'Test Cases'!$L$5:$L$204,"Blocked"))</f>
        <v>0</v>
      </c>
      <c r="Q5" s="29" t="n">
        <f aca="false">IF(A5="","",COUNTIFS('Test Cases'!$B$5:$B$204,A5,'Test Cases'!$L$5:$L$204,"Not Run"))</f>
        <v>2</v>
      </c>
      <c r="R5" s="29" t="n">
        <f aca="false">IF(A5="","",COUNTIFS(Defects!$C$5:$C$104,A5,Defects!$H$5:$H$104,"Open")+COUNTIFS(Defects!$C$5:$C$104,A5,Defects!$H$5:$H$104,"In Progress")+COUNTIFS(Defects!$C$5:$C$104,A5,Defects!$H$5:$H$104,"Fixed - Retest"))</f>
        <v>0</v>
      </c>
      <c r="S5" s="30" t="str">
        <f aca="false">IF(A5="","",IF(L5&lt;&gt;"Approved","Not in scope yet",IF(M5=0,"No test coverage",IF(O5&gt;0,"Failing",IF(N5=M5,"Verified",IF(P5&gt;0,"Blocked",IF(N5&gt;0,"Partially verified","Not yet tested")))))))</f>
        <v>Partially verified</v>
      </c>
      <c r="T5" s="13" t="s">
        <v>143</v>
      </c>
      <c r="U5" s="12"/>
      <c r="V5" s="29" t="str">
        <f aca="false">IF(OR(S5="No test coverage",S5="Failing",S5="Blocked"),ROW(),"")</f>
        <v/>
      </c>
    </row>
    <row r="6" customFormat="false" ht="45" hidden="false" customHeight="true" outlineLevel="0" collapsed="false">
      <c r="A6" s="13" t="s">
        <v>144</v>
      </c>
      <c r="B6" s="13" t="s">
        <v>47</v>
      </c>
      <c r="C6" s="12" t="s">
        <v>145</v>
      </c>
      <c r="D6" s="12" t="s">
        <v>146</v>
      </c>
      <c r="E6" s="13" t="s">
        <v>137</v>
      </c>
      <c r="F6" s="12" t="s">
        <v>147</v>
      </c>
      <c r="G6" s="13" t="s">
        <v>148</v>
      </c>
      <c r="H6" s="12" t="s">
        <v>149</v>
      </c>
      <c r="I6" s="12" t="s">
        <v>150</v>
      </c>
      <c r="J6" s="12" t="s">
        <v>151</v>
      </c>
      <c r="K6" s="13" t="s">
        <v>142</v>
      </c>
      <c r="L6" s="13" t="s">
        <v>89</v>
      </c>
      <c r="M6" s="29" t="n">
        <f aca="false">IF(A6="","",COUNTIFS('Test Cases'!$B$5:$B$204,A6))</f>
        <v>5</v>
      </c>
      <c r="N6" s="29" t="n">
        <f aca="false">IF(A6="","",COUNTIFS('Test Cases'!$B$5:$B$204,A6,'Test Cases'!$L$5:$L$204,"Passed"))</f>
        <v>2</v>
      </c>
      <c r="O6" s="29" t="n">
        <f aca="false">IF(A6="","",COUNTIFS('Test Cases'!$B$5:$B$204,A6,'Test Cases'!$L$5:$L$204,"Failed"))</f>
        <v>1</v>
      </c>
      <c r="P6" s="29" t="n">
        <f aca="false">IF(A6="","",COUNTIFS('Test Cases'!$B$5:$B$204,A6,'Test Cases'!$L$5:$L$204,"Blocked"))</f>
        <v>0</v>
      </c>
      <c r="Q6" s="29" t="n">
        <f aca="false">IF(A6="","",COUNTIFS('Test Cases'!$B$5:$B$204,A6,'Test Cases'!$L$5:$L$204,"Not Run"))</f>
        <v>2</v>
      </c>
      <c r="R6" s="29" t="n">
        <f aca="false">IF(A6="","",COUNTIFS(Defects!$C$5:$C$104,A6,Defects!$H$5:$H$104,"Open")+COUNTIFS(Defects!$C$5:$C$104,A6,Defects!$H$5:$H$104,"In Progress")+COUNTIFS(Defects!$C$5:$C$104,A6,Defects!$H$5:$H$104,"Fixed - Retest"))</f>
        <v>1</v>
      </c>
      <c r="S6" s="30" t="str">
        <f aca="false">IF(A6="","",IF(L6&lt;&gt;"Approved","Not in scope yet",IF(M6=0,"No test coverage",IF(O6&gt;0,"Failing",IF(N6=M6,"Verified",IF(P6&gt;0,"Blocked",IF(N6&gt;0,"Partially verified","Not yet tested")))))))</f>
        <v>Failing</v>
      </c>
      <c r="T6" s="13" t="s">
        <v>143</v>
      </c>
      <c r="U6" s="12"/>
      <c r="V6" s="29" t="n">
        <f aca="false">IF(OR(S6="No test coverage",S6="Failing",S6="Blocked"),ROW(),"")</f>
        <v>6</v>
      </c>
    </row>
    <row r="7" customFormat="false" ht="45" hidden="false" customHeight="true" outlineLevel="0" collapsed="false">
      <c r="A7" s="13" t="s">
        <v>152</v>
      </c>
      <c r="B7" s="13" t="s">
        <v>93</v>
      </c>
      <c r="C7" s="12" t="s">
        <v>153</v>
      </c>
      <c r="D7" s="12" t="s">
        <v>154</v>
      </c>
      <c r="E7" s="13" t="s">
        <v>137</v>
      </c>
      <c r="F7" s="12" t="s">
        <v>138</v>
      </c>
      <c r="G7" s="13" t="s">
        <v>155</v>
      </c>
      <c r="H7" s="12" t="s">
        <v>156</v>
      </c>
      <c r="I7" s="12" t="s">
        <v>157</v>
      </c>
      <c r="J7" s="12" t="s">
        <v>158</v>
      </c>
      <c r="K7" s="13" t="s">
        <v>142</v>
      </c>
      <c r="L7" s="13" t="s">
        <v>89</v>
      </c>
      <c r="M7" s="29" t="n">
        <f aca="false">IF(A7="","",COUNTIFS('Test Cases'!$B$5:$B$204,A7))</f>
        <v>5</v>
      </c>
      <c r="N7" s="29" t="n">
        <f aca="false">IF(A7="","",COUNTIFS('Test Cases'!$B$5:$B$204,A7,'Test Cases'!$L$5:$L$204,"Passed"))</f>
        <v>0</v>
      </c>
      <c r="O7" s="29" t="n">
        <f aca="false">IF(A7="","",COUNTIFS('Test Cases'!$B$5:$B$204,A7,'Test Cases'!$L$5:$L$204,"Failed"))</f>
        <v>0</v>
      </c>
      <c r="P7" s="29" t="n">
        <f aca="false">IF(A7="","",COUNTIFS('Test Cases'!$B$5:$B$204,A7,'Test Cases'!$L$5:$L$204,"Blocked"))</f>
        <v>0</v>
      </c>
      <c r="Q7" s="29" t="n">
        <f aca="false">IF(A7="","",COUNTIFS('Test Cases'!$B$5:$B$204,A7,'Test Cases'!$L$5:$L$204,"Not Run"))</f>
        <v>5</v>
      </c>
      <c r="R7" s="29" t="n">
        <f aca="false">IF(A7="","",COUNTIFS(Defects!$C$5:$C$104,A7,Defects!$H$5:$H$104,"Open")+COUNTIFS(Defects!$C$5:$C$104,A7,Defects!$H$5:$H$104,"In Progress")+COUNTIFS(Defects!$C$5:$C$104,A7,Defects!$H$5:$H$104,"Fixed - Retest"))</f>
        <v>0</v>
      </c>
      <c r="S7" s="30" t="str">
        <f aca="false">IF(A7="","",IF(L7&lt;&gt;"Approved","Not in scope yet",IF(M7=0,"No test coverage",IF(O7&gt;0,"Failing",IF(N7=M7,"Verified",IF(P7&gt;0,"Blocked",IF(N7&gt;0,"Partially verified","Not yet tested")))))))</f>
        <v>Not yet tested</v>
      </c>
      <c r="T7" s="13" t="s">
        <v>143</v>
      </c>
      <c r="U7" s="12"/>
      <c r="V7" s="29" t="str">
        <f aca="false">IF(OR(S7="No test coverage",S7="Failing",S7="Blocked"),ROW(),"")</f>
        <v/>
      </c>
    </row>
    <row r="8" customFormat="false" ht="31.5" hidden="false" customHeight="true" outlineLevel="0" collapsed="false">
      <c r="A8" s="13" t="s">
        <v>159</v>
      </c>
      <c r="B8" s="13" t="s">
        <v>95</v>
      </c>
      <c r="C8" s="12" t="s">
        <v>160</v>
      </c>
      <c r="D8" s="12" t="s">
        <v>161</v>
      </c>
      <c r="E8" s="13" t="s">
        <v>137</v>
      </c>
      <c r="F8" s="12" t="s">
        <v>162</v>
      </c>
      <c r="G8" s="13" t="s">
        <v>155</v>
      </c>
      <c r="H8" s="12" t="s">
        <v>163</v>
      </c>
      <c r="I8" s="12" t="s">
        <v>164</v>
      </c>
      <c r="J8" s="12" t="s">
        <v>165</v>
      </c>
      <c r="K8" s="13" t="s">
        <v>142</v>
      </c>
      <c r="L8" s="13" t="s">
        <v>89</v>
      </c>
      <c r="M8" s="29" t="n">
        <f aca="false">IF(A8="","",COUNTIFS('Test Cases'!$B$5:$B$204,A8))</f>
        <v>5</v>
      </c>
      <c r="N8" s="29" t="n">
        <f aca="false">IF(A8="","",COUNTIFS('Test Cases'!$B$5:$B$204,A8,'Test Cases'!$L$5:$L$204,"Passed"))</f>
        <v>0</v>
      </c>
      <c r="O8" s="29" t="n">
        <f aca="false">IF(A8="","",COUNTIFS('Test Cases'!$B$5:$B$204,A8,'Test Cases'!$L$5:$L$204,"Failed"))</f>
        <v>0</v>
      </c>
      <c r="P8" s="29" t="n">
        <f aca="false">IF(A8="","",COUNTIFS('Test Cases'!$B$5:$B$204,A8,'Test Cases'!$L$5:$L$204,"Blocked"))</f>
        <v>0</v>
      </c>
      <c r="Q8" s="29" t="n">
        <f aca="false">IF(A8="","",COUNTIFS('Test Cases'!$B$5:$B$204,A8,'Test Cases'!$L$5:$L$204,"Not Run"))</f>
        <v>5</v>
      </c>
      <c r="R8" s="29" t="n">
        <f aca="false">IF(A8="","",COUNTIFS(Defects!$C$5:$C$104,A8,Defects!$H$5:$H$104,"Open")+COUNTIFS(Defects!$C$5:$C$104,A8,Defects!$H$5:$H$104,"In Progress")+COUNTIFS(Defects!$C$5:$C$104,A8,Defects!$H$5:$H$104,"Fixed - Retest"))</f>
        <v>0</v>
      </c>
      <c r="S8" s="30" t="str">
        <f aca="false">IF(A8="","",IF(L8&lt;&gt;"Approved","Not in scope yet",IF(M8=0,"No test coverage",IF(O8&gt;0,"Failing",IF(N8=M8,"Verified",IF(P8&gt;0,"Blocked",IF(N8&gt;0,"Partially verified","Not yet tested")))))))</f>
        <v>Not yet tested</v>
      </c>
      <c r="T8" s="13" t="s">
        <v>143</v>
      </c>
      <c r="U8" s="12" t="s">
        <v>166</v>
      </c>
      <c r="V8" s="29" t="str">
        <f aca="false">IF(OR(S8="No test coverage",S8="Failing",S8="Blocked"),ROW(),"")</f>
        <v/>
      </c>
    </row>
    <row r="9" customFormat="false" ht="31.5" hidden="false" customHeight="true" outlineLevel="0" collapsed="false">
      <c r="A9" s="13" t="s">
        <v>167</v>
      </c>
      <c r="B9" s="13" t="s">
        <v>93</v>
      </c>
      <c r="C9" s="12" t="s">
        <v>168</v>
      </c>
      <c r="D9" s="12" t="s">
        <v>169</v>
      </c>
      <c r="E9" s="13" t="s">
        <v>170</v>
      </c>
      <c r="F9" s="12" t="s">
        <v>138</v>
      </c>
      <c r="G9" s="13" t="s">
        <v>155</v>
      </c>
      <c r="H9" s="12" t="s">
        <v>171</v>
      </c>
      <c r="I9" s="12"/>
      <c r="J9" s="12"/>
      <c r="K9" s="13" t="s">
        <v>142</v>
      </c>
      <c r="L9" s="13" t="s">
        <v>89</v>
      </c>
      <c r="M9" s="29" t="n">
        <f aca="false">IF(A9="","",COUNTIFS('Test Cases'!$B$5:$B$204,A9))</f>
        <v>2</v>
      </c>
      <c r="N9" s="29" t="n">
        <f aca="false">IF(A9="","",COUNTIFS('Test Cases'!$B$5:$B$204,A9,'Test Cases'!$L$5:$L$204,"Passed"))</f>
        <v>2</v>
      </c>
      <c r="O9" s="29" t="n">
        <f aca="false">IF(A9="","",COUNTIFS('Test Cases'!$B$5:$B$204,A9,'Test Cases'!$L$5:$L$204,"Failed"))</f>
        <v>0</v>
      </c>
      <c r="P9" s="29" t="n">
        <f aca="false">IF(A9="","",COUNTIFS('Test Cases'!$B$5:$B$204,A9,'Test Cases'!$L$5:$L$204,"Blocked"))</f>
        <v>0</v>
      </c>
      <c r="Q9" s="29" t="n">
        <f aca="false">IF(A9="","",COUNTIFS('Test Cases'!$B$5:$B$204,A9,'Test Cases'!$L$5:$L$204,"Not Run"))</f>
        <v>0</v>
      </c>
      <c r="R9" s="29" t="n">
        <f aca="false">IF(A9="","",COUNTIFS(Defects!$C$5:$C$104,A9,Defects!$H$5:$H$104,"Open")+COUNTIFS(Defects!$C$5:$C$104,A9,Defects!$H$5:$H$104,"In Progress")+COUNTIFS(Defects!$C$5:$C$104,A9,Defects!$H$5:$H$104,"Fixed - Retest"))</f>
        <v>0</v>
      </c>
      <c r="S9" s="30" t="str">
        <f aca="false">IF(A9="","",IF(L9&lt;&gt;"Approved","Not in scope yet",IF(M9=0,"No test coverage",IF(O9&gt;0,"Failing",IF(N9=M9,"Verified",IF(P9&gt;0,"Blocked",IF(N9&gt;0,"Partially verified","Not yet tested")))))))</f>
        <v>Verified</v>
      </c>
      <c r="T9" s="13" t="s">
        <v>143</v>
      </c>
      <c r="U9" s="12"/>
      <c r="V9" s="29" t="str">
        <f aca="false">IF(OR(S9="No test coverage",S9="Failing",S9="Blocked"),ROW(),"")</f>
        <v/>
      </c>
    </row>
    <row r="10" customFormat="false" ht="45" hidden="false" customHeight="true" outlineLevel="0" collapsed="false">
      <c r="A10" s="13" t="s">
        <v>172</v>
      </c>
      <c r="B10" s="13" t="s">
        <v>94</v>
      </c>
      <c r="C10" s="12" t="s">
        <v>173</v>
      </c>
      <c r="D10" s="12" t="s">
        <v>174</v>
      </c>
      <c r="E10" s="13" t="s">
        <v>137</v>
      </c>
      <c r="F10" s="12" t="s">
        <v>175</v>
      </c>
      <c r="G10" s="13" t="s">
        <v>176</v>
      </c>
      <c r="H10" s="12" t="s">
        <v>177</v>
      </c>
      <c r="I10" s="12"/>
      <c r="J10" s="12" t="s">
        <v>178</v>
      </c>
      <c r="K10" s="13" t="s">
        <v>142</v>
      </c>
      <c r="L10" s="13" t="s">
        <v>89</v>
      </c>
      <c r="M10" s="29" t="n">
        <f aca="false">IF(A10="","",COUNTIFS('Test Cases'!$B$5:$B$204,A10))</f>
        <v>7</v>
      </c>
      <c r="N10" s="29" t="n">
        <f aca="false">IF(A10="","",COUNTIFS('Test Cases'!$B$5:$B$204,A10,'Test Cases'!$L$5:$L$204,"Passed"))</f>
        <v>4</v>
      </c>
      <c r="O10" s="29" t="n">
        <f aca="false">IF(A10="","",COUNTIFS('Test Cases'!$B$5:$B$204,A10,'Test Cases'!$L$5:$L$204,"Failed"))</f>
        <v>1</v>
      </c>
      <c r="P10" s="29" t="n">
        <f aca="false">IF(A10="","",COUNTIFS('Test Cases'!$B$5:$B$204,A10,'Test Cases'!$L$5:$L$204,"Blocked"))</f>
        <v>1</v>
      </c>
      <c r="Q10" s="29" t="n">
        <f aca="false">IF(A10="","",COUNTIFS('Test Cases'!$B$5:$B$204,A10,'Test Cases'!$L$5:$L$204,"Not Run"))</f>
        <v>1</v>
      </c>
      <c r="R10" s="29" t="n">
        <f aca="false">IF(A10="","",COUNTIFS(Defects!$C$5:$C$104,A10,Defects!$H$5:$H$104,"Open")+COUNTIFS(Defects!$C$5:$C$104,A10,Defects!$H$5:$H$104,"In Progress")+COUNTIFS(Defects!$C$5:$C$104,A10,Defects!$H$5:$H$104,"Fixed - Retest"))</f>
        <v>1</v>
      </c>
      <c r="S10" s="30" t="str">
        <f aca="false">IF(A10="","",IF(L10&lt;&gt;"Approved","Not in scope yet",IF(M10=0,"No test coverage",IF(O10&gt;0,"Failing",IF(N10=M10,"Verified",IF(P10&gt;0,"Blocked",IF(N10&gt;0,"Partially verified","Not yet tested")))))))</f>
        <v>Failing</v>
      </c>
      <c r="T10" s="13" t="s">
        <v>143</v>
      </c>
      <c r="U10" s="12"/>
      <c r="V10" s="29" t="n">
        <f aca="false">IF(OR(S10="No test coverage",S10="Failing",S10="Blocked"),ROW(),"")</f>
        <v>10</v>
      </c>
    </row>
    <row r="11" customFormat="false" ht="45" hidden="false" customHeight="true" outlineLevel="0" collapsed="false">
      <c r="A11" s="13" t="s">
        <v>179</v>
      </c>
      <c r="B11" s="13" t="s">
        <v>95</v>
      </c>
      <c r="C11" s="12" t="s">
        <v>180</v>
      </c>
      <c r="D11" s="12" t="s">
        <v>181</v>
      </c>
      <c r="E11" s="13" t="s">
        <v>137</v>
      </c>
      <c r="F11" s="12" t="s">
        <v>138</v>
      </c>
      <c r="G11" s="13" t="s">
        <v>176</v>
      </c>
      <c r="H11" s="12" t="s">
        <v>182</v>
      </c>
      <c r="I11" s="12" t="s">
        <v>183</v>
      </c>
      <c r="J11" s="12" t="s">
        <v>184</v>
      </c>
      <c r="K11" s="13" t="s">
        <v>142</v>
      </c>
      <c r="L11" s="13" t="s">
        <v>89</v>
      </c>
      <c r="M11" s="29" t="n">
        <f aca="false">IF(A11="","",COUNTIFS('Test Cases'!$B$5:$B$204,A11))</f>
        <v>3</v>
      </c>
      <c r="N11" s="29" t="n">
        <f aca="false">IF(A11="","",COUNTIFS('Test Cases'!$B$5:$B$204,A11,'Test Cases'!$L$5:$L$204,"Passed"))</f>
        <v>2</v>
      </c>
      <c r="O11" s="29" t="n">
        <f aca="false">IF(A11="","",COUNTIFS('Test Cases'!$B$5:$B$204,A11,'Test Cases'!$L$5:$L$204,"Failed"))</f>
        <v>0</v>
      </c>
      <c r="P11" s="29" t="n">
        <f aca="false">IF(A11="","",COUNTIFS('Test Cases'!$B$5:$B$204,A11,'Test Cases'!$L$5:$L$204,"Blocked"))</f>
        <v>0</v>
      </c>
      <c r="Q11" s="29" t="n">
        <f aca="false">IF(A11="","",COUNTIFS('Test Cases'!$B$5:$B$204,A11,'Test Cases'!$L$5:$L$204,"Not Run"))</f>
        <v>1</v>
      </c>
      <c r="R11" s="29" t="n">
        <f aca="false">IF(A11="","",COUNTIFS(Defects!$C$5:$C$104,A11,Defects!$H$5:$H$104,"Open")+COUNTIFS(Defects!$C$5:$C$104,A11,Defects!$H$5:$H$104,"In Progress")+COUNTIFS(Defects!$C$5:$C$104,A11,Defects!$H$5:$H$104,"Fixed - Retest"))</f>
        <v>0</v>
      </c>
      <c r="S11" s="30" t="str">
        <f aca="false">IF(A11="","",IF(L11&lt;&gt;"Approved","Not in scope yet",IF(M11=0,"No test coverage",IF(O11&gt;0,"Failing",IF(N11=M11,"Verified",IF(P11&gt;0,"Blocked",IF(N11&gt;0,"Partially verified","Not yet tested")))))))</f>
        <v>Partially verified</v>
      </c>
      <c r="T11" s="13" t="s">
        <v>143</v>
      </c>
      <c r="U11" s="12"/>
      <c r="V11" s="29" t="str">
        <f aca="false">IF(OR(S11="No test coverage",S11="Failing",S11="Blocked"),ROW(),"")</f>
        <v/>
      </c>
    </row>
    <row r="12" customFormat="false" ht="45" hidden="false" customHeight="true" outlineLevel="0" collapsed="false">
      <c r="A12" s="13" t="s">
        <v>185</v>
      </c>
      <c r="B12" s="13" t="s">
        <v>93</v>
      </c>
      <c r="C12" s="12" t="s">
        <v>186</v>
      </c>
      <c r="D12" s="12" t="s">
        <v>187</v>
      </c>
      <c r="E12" s="13" t="s">
        <v>137</v>
      </c>
      <c r="F12" s="12" t="s">
        <v>138</v>
      </c>
      <c r="G12" s="13" t="s">
        <v>176</v>
      </c>
      <c r="H12" s="12" t="s">
        <v>188</v>
      </c>
      <c r="I12" s="12"/>
      <c r="J12" s="12" t="s">
        <v>189</v>
      </c>
      <c r="K12" s="13" t="s">
        <v>142</v>
      </c>
      <c r="L12" s="13" t="s">
        <v>89</v>
      </c>
      <c r="M12" s="29" t="n">
        <f aca="false">IF(A12="","",COUNTIFS('Test Cases'!$B$5:$B$204,A12))</f>
        <v>3</v>
      </c>
      <c r="N12" s="29" t="n">
        <f aca="false">IF(A12="","",COUNTIFS('Test Cases'!$B$5:$B$204,A12,'Test Cases'!$L$5:$L$204,"Passed"))</f>
        <v>2</v>
      </c>
      <c r="O12" s="29" t="n">
        <f aca="false">IF(A12="","",COUNTIFS('Test Cases'!$B$5:$B$204,A12,'Test Cases'!$L$5:$L$204,"Failed"))</f>
        <v>0</v>
      </c>
      <c r="P12" s="29" t="n">
        <f aca="false">IF(A12="","",COUNTIFS('Test Cases'!$B$5:$B$204,A12,'Test Cases'!$L$5:$L$204,"Blocked"))</f>
        <v>0</v>
      </c>
      <c r="Q12" s="29" t="n">
        <f aca="false">IF(A12="","",COUNTIFS('Test Cases'!$B$5:$B$204,A12,'Test Cases'!$L$5:$L$204,"Not Run"))</f>
        <v>1</v>
      </c>
      <c r="R12" s="29" t="n">
        <f aca="false">IF(A12="","",COUNTIFS(Defects!$C$5:$C$104,A12,Defects!$H$5:$H$104,"Open")+COUNTIFS(Defects!$C$5:$C$104,A12,Defects!$H$5:$H$104,"In Progress")+COUNTIFS(Defects!$C$5:$C$104,A12,Defects!$H$5:$H$104,"Fixed - Retest"))</f>
        <v>0</v>
      </c>
      <c r="S12" s="30" t="str">
        <f aca="false">IF(A12="","",IF(L12&lt;&gt;"Approved","Not in scope yet",IF(M12=0,"No test coverage",IF(O12&gt;0,"Failing",IF(N12=M12,"Verified",IF(P12&gt;0,"Blocked",IF(N12&gt;0,"Partially verified","Not yet tested")))))))</f>
        <v>Partially verified</v>
      </c>
      <c r="T12" s="13" t="s">
        <v>143</v>
      </c>
      <c r="U12" s="12"/>
      <c r="V12" s="29" t="str">
        <f aca="false">IF(OR(S12="No test coverage",S12="Failing",S12="Blocked"),ROW(),"")</f>
        <v/>
      </c>
    </row>
    <row r="13" customFormat="false" ht="45" hidden="false" customHeight="true" outlineLevel="0" collapsed="false">
      <c r="A13" s="13" t="s">
        <v>190</v>
      </c>
      <c r="B13" s="13" t="s">
        <v>93</v>
      </c>
      <c r="C13" s="12" t="s">
        <v>191</v>
      </c>
      <c r="D13" s="12" t="s">
        <v>192</v>
      </c>
      <c r="E13" s="13" t="s">
        <v>137</v>
      </c>
      <c r="F13" s="12" t="s">
        <v>147</v>
      </c>
      <c r="G13" s="13" t="s">
        <v>193</v>
      </c>
      <c r="H13" s="12" t="s">
        <v>194</v>
      </c>
      <c r="I13" s="12" t="s">
        <v>195</v>
      </c>
      <c r="J13" s="12" t="s">
        <v>141</v>
      </c>
      <c r="K13" s="13" t="s">
        <v>142</v>
      </c>
      <c r="L13" s="13" t="s">
        <v>89</v>
      </c>
      <c r="M13" s="29" t="n">
        <f aca="false">IF(A13="","",COUNTIFS('Test Cases'!$B$5:$B$204,A13))</f>
        <v>3</v>
      </c>
      <c r="N13" s="29" t="n">
        <f aca="false">IF(A13="","",COUNTIFS('Test Cases'!$B$5:$B$204,A13,'Test Cases'!$L$5:$L$204,"Passed"))</f>
        <v>0</v>
      </c>
      <c r="O13" s="29" t="n">
        <f aca="false">IF(A13="","",COUNTIFS('Test Cases'!$B$5:$B$204,A13,'Test Cases'!$L$5:$L$204,"Failed"))</f>
        <v>0</v>
      </c>
      <c r="P13" s="29" t="n">
        <f aca="false">IF(A13="","",COUNTIFS('Test Cases'!$B$5:$B$204,A13,'Test Cases'!$L$5:$L$204,"Blocked"))</f>
        <v>0</v>
      </c>
      <c r="Q13" s="29" t="n">
        <f aca="false">IF(A13="","",COUNTIFS('Test Cases'!$B$5:$B$204,A13,'Test Cases'!$L$5:$L$204,"Not Run"))</f>
        <v>3</v>
      </c>
      <c r="R13" s="29" t="n">
        <f aca="false">IF(A13="","",COUNTIFS(Defects!$C$5:$C$104,A13,Defects!$H$5:$H$104,"Open")+COUNTIFS(Defects!$C$5:$C$104,A13,Defects!$H$5:$H$104,"In Progress")+COUNTIFS(Defects!$C$5:$C$104,A13,Defects!$H$5:$H$104,"Fixed - Retest"))</f>
        <v>0</v>
      </c>
      <c r="S13" s="30" t="str">
        <f aca="false">IF(A13="","",IF(L13&lt;&gt;"Approved","Not in scope yet",IF(M13=0,"No test coverage",IF(O13&gt;0,"Failing",IF(N13=M13,"Verified",IF(P13&gt;0,"Blocked",IF(N13&gt;0,"Partially verified","Not yet tested")))))))</f>
        <v>Not yet tested</v>
      </c>
      <c r="T13" s="13" t="s">
        <v>143</v>
      </c>
      <c r="U13" s="12" t="s">
        <v>196</v>
      </c>
      <c r="V13" s="29" t="str">
        <f aca="false">IF(OR(S13="No test coverage",S13="Failing",S13="Blocked"),ROW(),"")</f>
        <v/>
      </c>
    </row>
    <row r="14" customFormat="false" ht="45" hidden="false" customHeight="true" outlineLevel="0" collapsed="false">
      <c r="A14" s="13" t="s">
        <v>197</v>
      </c>
      <c r="B14" s="13" t="s">
        <v>93</v>
      </c>
      <c r="C14" s="12" t="s">
        <v>198</v>
      </c>
      <c r="D14" s="12" t="s">
        <v>199</v>
      </c>
      <c r="E14" s="13" t="s">
        <v>137</v>
      </c>
      <c r="F14" s="12" t="s">
        <v>200</v>
      </c>
      <c r="G14" s="13" t="s">
        <v>201</v>
      </c>
      <c r="H14" s="12" t="s">
        <v>202</v>
      </c>
      <c r="I14" s="12" t="s">
        <v>203</v>
      </c>
      <c r="J14" s="12" t="s">
        <v>204</v>
      </c>
      <c r="K14" s="13" t="s">
        <v>142</v>
      </c>
      <c r="L14" s="13" t="s">
        <v>89</v>
      </c>
      <c r="M14" s="29" t="n">
        <f aca="false">IF(A14="","",COUNTIFS('Test Cases'!$B$5:$B$204,A14))</f>
        <v>3</v>
      </c>
      <c r="N14" s="29" t="n">
        <f aca="false">IF(A14="","",COUNTIFS('Test Cases'!$B$5:$B$204,A14,'Test Cases'!$L$5:$L$204,"Passed"))</f>
        <v>0</v>
      </c>
      <c r="O14" s="29" t="n">
        <f aca="false">IF(A14="","",COUNTIFS('Test Cases'!$B$5:$B$204,A14,'Test Cases'!$L$5:$L$204,"Failed"))</f>
        <v>0</v>
      </c>
      <c r="P14" s="29" t="n">
        <f aca="false">IF(A14="","",COUNTIFS('Test Cases'!$B$5:$B$204,A14,'Test Cases'!$L$5:$L$204,"Blocked"))</f>
        <v>0</v>
      </c>
      <c r="Q14" s="29" t="n">
        <f aca="false">IF(A14="","",COUNTIFS('Test Cases'!$B$5:$B$204,A14,'Test Cases'!$L$5:$L$204,"Not Run"))</f>
        <v>3</v>
      </c>
      <c r="R14" s="29" t="n">
        <f aca="false">IF(A14="","",COUNTIFS(Defects!$C$5:$C$104,A14,Defects!$H$5:$H$104,"Open")+COUNTIFS(Defects!$C$5:$C$104,A14,Defects!$H$5:$H$104,"In Progress")+COUNTIFS(Defects!$C$5:$C$104,A14,Defects!$H$5:$H$104,"Fixed - Retest"))</f>
        <v>0</v>
      </c>
      <c r="S14" s="30" t="str">
        <f aca="false">IF(A14="","",IF(L14&lt;&gt;"Approved","Not in scope yet",IF(M14=0,"No test coverage",IF(O14&gt;0,"Failing",IF(N14=M14,"Verified",IF(P14&gt;0,"Blocked",IF(N14&gt;0,"Partially verified","Not yet tested")))))))</f>
        <v>Not yet tested</v>
      </c>
      <c r="T14" s="13" t="s">
        <v>143</v>
      </c>
      <c r="U14" s="12"/>
      <c r="V14" s="29" t="str">
        <f aca="false">IF(OR(S14="No test coverage",S14="Failing",S14="Blocked"),ROW(),"")</f>
        <v/>
      </c>
    </row>
    <row r="15" customFormat="false" ht="45" hidden="false" customHeight="true" outlineLevel="0" collapsed="false">
      <c r="A15" s="13" t="s">
        <v>205</v>
      </c>
      <c r="B15" s="13" t="s">
        <v>97</v>
      </c>
      <c r="C15" s="12" t="s">
        <v>206</v>
      </c>
      <c r="D15" s="12" t="s">
        <v>207</v>
      </c>
      <c r="E15" s="13" t="s">
        <v>137</v>
      </c>
      <c r="F15" s="12" t="s">
        <v>200</v>
      </c>
      <c r="G15" s="13" t="s">
        <v>208</v>
      </c>
      <c r="H15" s="12" t="s">
        <v>209</v>
      </c>
      <c r="I15" s="12"/>
      <c r="J15" s="12" t="s">
        <v>210</v>
      </c>
      <c r="K15" s="13" t="s">
        <v>142</v>
      </c>
      <c r="L15" s="13" t="s">
        <v>89</v>
      </c>
      <c r="M15" s="29" t="n">
        <f aca="false">IF(A15="","",COUNTIFS('Test Cases'!$B$5:$B$204,A15))</f>
        <v>2</v>
      </c>
      <c r="N15" s="29" t="n">
        <f aca="false">IF(A15="","",COUNTIFS('Test Cases'!$B$5:$B$204,A15,'Test Cases'!$L$5:$L$204,"Passed"))</f>
        <v>0</v>
      </c>
      <c r="O15" s="29" t="n">
        <f aca="false">IF(A15="","",COUNTIFS('Test Cases'!$B$5:$B$204,A15,'Test Cases'!$L$5:$L$204,"Failed"))</f>
        <v>0</v>
      </c>
      <c r="P15" s="29" t="n">
        <f aca="false">IF(A15="","",COUNTIFS('Test Cases'!$B$5:$B$204,A15,'Test Cases'!$L$5:$L$204,"Blocked"))</f>
        <v>0</v>
      </c>
      <c r="Q15" s="29" t="n">
        <f aca="false">IF(A15="","",COUNTIFS('Test Cases'!$B$5:$B$204,A15,'Test Cases'!$L$5:$L$204,"Not Run"))</f>
        <v>2</v>
      </c>
      <c r="R15" s="29" t="n">
        <f aca="false">IF(A15="","",COUNTIFS(Defects!$C$5:$C$104,A15,Defects!$H$5:$H$104,"Open")+COUNTIFS(Defects!$C$5:$C$104,A15,Defects!$H$5:$H$104,"In Progress")+COUNTIFS(Defects!$C$5:$C$104,A15,Defects!$H$5:$H$104,"Fixed - Retest"))</f>
        <v>0</v>
      </c>
      <c r="S15" s="30" t="str">
        <f aca="false">IF(A15="","",IF(L15&lt;&gt;"Approved","Not in scope yet",IF(M15=0,"No test coverage",IF(O15&gt;0,"Failing",IF(N15=M15,"Verified",IF(P15&gt;0,"Blocked",IF(N15&gt;0,"Partially verified","Not yet tested")))))))</f>
        <v>Not yet tested</v>
      </c>
      <c r="T15" s="13" t="s">
        <v>143</v>
      </c>
      <c r="U15" s="12" t="s">
        <v>211</v>
      </c>
      <c r="V15" s="29" t="str">
        <f aca="false">IF(OR(S15="No test coverage",S15="Failing",S15="Blocked"),ROW(),"")</f>
        <v/>
      </c>
    </row>
    <row r="16" customFormat="false" ht="45" hidden="false" customHeight="true" outlineLevel="0" collapsed="false">
      <c r="A16" s="13" t="s">
        <v>212</v>
      </c>
      <c r="B16" s="13" t="s">
        <v>98</v>
      </c>
      <c r="C16" s="12" t="s">
        <v>213</v>
      </c>
      <c r="D16" s="12" t="s">
        <v>214</v>
      </c>
      <c r="E16" s="13" t="s">
        <v>137</v>
      </c>
      <c r="F16" s="12" t="s">
        <v>200</v>
      </c>
      <c r="G16" s="13" t="s">
        <v>208</v>
      </c>
      <c r="H16" s="12" t="s">
        <v>215</v>
      </c>
      <c r="I16" s="12"/>
      <c r="J16" s="12" t="s">
        <v>216</v>
      </c>
      <c r="K16" s="13" t="s">
        <v>217</v>
      </c>
      <c r="L16" s="13" t="s">
        <v>89</v>
      </c>
      <c r="M16" s="29" t="n">
        <f aca="false">IF(A16="","",COUNTIFS('Test Cases'!$B$5:$B$204,A16))</f>
        <v>2</v>
      </c>
      <c r="N16" s="29" t="n">
        <f aca="false">IF(A16="","",COUNTIFS('Test Cases'!$B$5:$B$204,A16,'Test Cases'!$L$5:$L$204,"Passed"))</f>
        <v>0</v>
      </c>
      <c r="O16" s="29" t="n">
        <f aca="false">IF(A16="","",COUNTIFS('Test Cases'!$B$5:$B$204,A16,'Test Cases'!$L$5:$L$204,"Failed"))</f>
        <v>0</v>
      </c>
      <c r="P16" s="29" t="n">
        <f aca="false">IF(A16="","",COUNTIFS('Test Cases'!$B$5:$B$204,A16,'Test Cases'!$L$5:$L$204,"Blocked"))</f>
        <v>0</v>
      </c>
      <c r="Q16" s="29" t="n">
        <f aca="false">IF(A16="","",COUNTIFS('Test Cases'!$B$5:$B$204,A16,'Test Cases'!$L$5:$L$204,"Not Run"))</f>
        <v>2</v>
      </c>
      <c r="R16" s="29" t="n">
        <f aca="false">IF(A16="","",COUNTIFS(Defects!$C$5:$C$104,A16,Defects!$H$5:$H$104,"Open")+COUNTIFS(Defects!$C$5:$C$104,A16,Defects!$H$5:$H$104,"In Progress")+COUNTIFS(Defects!$C$5:$C$104,A16,Defects!$H$5:$H$104,"Fixed - Retest"))</f>
        <v>0</v>
      </c>
      <c r="S16" s="30" t="str">
        <f aca="false">IF(A16="","",IF(L16&lt;&gt;"Approved","Not in scope yet",IF(M16=0,"No test coverage",IF(O16&gt;0,"Failing",IF(N16=M16,"Verified",IF(P16&gt;0,"Blocked",IF(N16&gt;0,"Partially verified","Not yet tested")))))))</f>
        <v>Not yet tested</v>
      </c>
      <c r="T16" s="13" t="s">
        <v>143</v>
      </c>
      <c r="U16" s="12"/>
      <c r="V16" s="29" t="str">
        <f aca="false">IF(OR(S16="No test coverage",S16="Failing",S16="Blocked"),ROW(),"")</f>
        <v/>
      </c>
    </row>
    <row r="17" customFormat="false" ht="31.5" hidden="false" customHeight="true" outlineLevel="0" collapsed="false">
      <c r="A17" s="13" t="s">
        <v>218</v>
      </c>
      <c r="B17" s="13" t="s">
        <v>95</v>
      </c>
      <c r="C17" s="12" t="s">
        <v>219</v>
      </c>
      <c r="D17" s="12" t="s">
        <v>220</v>
      </c>
      <c r="E17" s="13" t="s">
        <v>137</v>
      </c>
      <c r="F17" s="12" t="s">
        <v>162</v>
      </c>
      <c r="G17" s="13" t="s">
        <v>148</v>
      </c>
      <c r="H17" s="12" t="s">
        <v>221</v>
      </c>
      <c r="I17" s="12" t="s">
        <v>222</v>
      </c>
      <c r="J17" s="12" t="s">
        <v>223</v>
      </c>
      <c r="K17" s="13" t="s">
        <v>142</v>
      </c>
      <c r="L17" s="13" t="s">
        <v>89</v>
      </c>
      <c r="M17" s="29" t="n">
        <f aca="false">IF(A17="","",COUNTIFS('Test Cases'!$B$5:$B$204,A17))</f>
        <v>2</v>
      </c>
      <c r="N17" s="29" t="n">
        <f aca="false">IF(A17="","",COUNTIFS('Test Cases'!$B$5:$B$204,A17,'Test Cases'!$L$5:$L$204,"Passed"))</f>
        <v>0</v>
      </c>
      <c r="O17" s="29" t="n">
        <f aca="false">IF(A17="","",COUNTIFS('Test Cases'!$B$5:$B$204,A17,'Test Cases'!$L$5:$L$204,"Failed"))</f>
        <v>0</v>
      </c>
      <c r="P17" s="29" t="n">
        <f aca="false">IF(A17="","",COUNTIFS('Test Cases'!$B$5:$B$204,A17,'Test Cases'!$L$5:$L$204,"Blocked"))</f>
        <v>0</v>
      </c>
      <c r="Q17" s="29" t="n">
        <f aca="false">IF(A17="","",COUNTIFS('Test Cases'!$B$5:$B$204,A17,'Test Cases'!$L$5:$L$204,"Not Run"))</f>
        <v>2</v>
      </c>
      <c r="R17" s="29" t="n">
        <f aca="false">IF(A17="","",COUNTIFS(Defects!$C$5:$C$104,A17,Defects!$H$5:$H$104,"Open")+COUNTIFS(Defects!$C$5:$C$104,A17,Defects!$H$5:$H$104,"In Progress")+COUNTIFS(Defects!$C$5:$C$104,A17,Defects!$H$5:$H$104,"Fixed - Retest"))</f>
        <v>0</v>
      </c>
      <c r="S17" s="30" t="str">
        <f aca="false">IF(A17="","",IF(L17&lt;&gt;"Approved","Not in scope yet",IF(M17=0,"No test coverage",IF(O17&gt;0,"Failing",IF(N17=M17,"Verified",IF(P17&gt;0,"Blocked",IF(N17&gt;0,"Partially verified","Not yet tested")))))))</f>
        <v>Not yet tested</v>
      </c>
      <c r="T17" s="13" t="s">
        <v>143</v>
      </c>
      <c r="U17" s="12"/>
      <c r="V17" s="29" t="str">
        <f aca="false">IF(OR(S17="No test coverage",S17="Failing",S17="Blocked"),ROW(),"")</f>
        <v/>
      </c>
    </row>
    <row r="18" customFormat="false" ht="31.5" hidden="false" customHeight="true" outlineLevel="0" collapsed="false">
      <c r="A18" s="13" t="s">
        <v>224</v>
      </c>
      <c r="B18" s="13" t="s">
        <v>47</v>
      </c>
      <c r="C18" s="12" t="s">
        <v>225</v>
      </c>
      <c r="D18" s="12" t="s">
        <v>226</v>
      </c>
      <c r="E18" s="13" t="s">
        <v>137</v>
      </c>
      <c r="F18" s="12" t="s">
        <v>175</v>
      </c>
      <c r="G18" s="13" t="s">
        <v>227</v>
      </c>
      <c r="H18" s="12" t="s">
        <v>228</v>
      </c>
      <c r="I18" s="12" t="s">
        <v>229</v>
      </c>
      <c r="J18" s="12" t="s">
        <v>230</v>
      </c>
      <c r="K18" s="13" t="s">
        <v>231</v>
      </c>
      <c r="L18" s="13" t="s">
        <v>89</v>
      </c>
      <c r="M18" s="29" t="n">
        <f aca="false">IF(A18="","",COUNTIFS('Test Cases'!$B$5:$B$204,A18))</f>
        <v>2</v>
      </c>
      <c r="N18" s="29" t="n">
        <f aca="false">IF(A18="","",COUNTIFS('Test Cases'!$B$5:$B$204,A18,'Test Cases'!$L$5:$L$204,"Passed"))</f>
        <v>0</v>
      </c>
      <c r="O18" s="29" t="n">
        <f aca="false">IF(A18="","",COUNTIFS('Test Cases'!$B$5:$B$204,A18,'Test Cases'!$L$5:$L$204,"Failed"))</f>
        <v>0</v>
      </c>
      <c r="P18" s="29" t="n">
        <f aca="false">IF(A18="","",COUNTIFS('Test Cases'!$B$5:$B$204,A18,'Test Cases'!$L$5:$L$204,"Blocked"))</f>
        <v>0</v>
      </c>
      <c r="Q18" s="29" t="n">
        <f aca="false">IF(A18="","",COUNTIFS('Test Cases'!$B$5:$B$204,A18,'Test Cases'!$L$5:$L$204,"Not Run"))</f>
        <v>2</v>
      </c>
      <c r="R18" s="29" t="n">
        <f aca="false">IF(A18="","",COUNTIFS(Defects!$C$5:$C$104,A18,Defects!$H$5:$H$104,"Open")+COUNTIFS(Defects!$C$5:$C$104,A18,Defects!$H$5:$H$104,"In Progress")+COUNTIFS(Defects!$C$5:$C$104,A18,Defects!$H$5:$H$104,"Fixed - Retest"))</f>
        <v>0</v>
      </c>
      <c r="S18" s="30" t="str">
        <f aca="false">IF(A18="","",IF(L18&lt;&gt;"Approved","Not in scope yet",IF(M18=0,"No test coverage",IF(O18&gt;0,"Failing",IF(N18=M18,"Verified",IF(P18&gt;0,"Blocked",IF(N18&gt;0,"Partially verified","Not yet tested")))))))</f>
        <v>Not yet tested</v>
      </c>
      <c r="T18" s="13" t="s">
        <v>143</v>
      </c>
      <c r="U18" s="12"/>
      <c r="V18" s="29" t="str">
        <f aca="false">IF(OR(S18="No test coverage",S18="Failing",S18="Blocked"),ROW(),"")</f>
        <v/>
      </c>
    </row>
    <row r="19" customFormat="false" ht="31.5" hidden="false" customHeight="true" outlineLevel="0" collapsed="false">
      <c r="A19" s="13" t="s">
        <v>232</v>
      </c>
      <c r="B19" s="13" t="s">
        <v>96</v>
      </c>
      <c r="C19" s="12" t="s">
        <v>233</v>
      </c>
      <c r="D19" s="12" t="s">
        <v>234</v>
      </c>
      <c r="E19" s="13" t="s">
        <v>137</v>
      </c>
      <c r="F19" s="12" t="s">
        <v>235</v>
      </c>
      <c r="G19" s="13" t="s">
        <v>227</v>
      </c>
      <c r="H19" s="12" t="s">
        <v>236</v>
      </c>
      <c r="I19" s="12" t="s">
        <v>237</v>
      </c>
      <c r="J19" s="12" t="s">
        <v>238</v>
      </c>
      <c r="K19" s="13" t="s">
        <v>142</v>
      </c>
      <c r="L19" s="13" t="s">
        <v>89</v>
      </c>
      <c r="M19" s="29" t="n">
        <f aca="false">IF(A19="","",COUNTIFS('Test Cases'!$B$5:$B$204,A19))</f>
        <v>2</v>
      </c>
      <c r="N19" s="29" t="n">
        <f aca="false">IF(A19="","",COUNTIFS('Test Cases'!$B$5:$B$204,A19,'Test Cases'!$L$5:$L$204,"Passed"))</f>
        <v>0</v>
      </c>
      <c r="O19" s="29" t="n">
        <f aca="false">IF(A19="","",COUNTIFS('Test Cases'!$B$5:$B$204,A19,'Test Cases'!$L$5:$L$204,"Failed"))</f>
        <v>0</v>
      </c>
      <c r="P19" s="29" t="n">
        <f aca="false">IF(A19="","",COUNTIFS('Test Cases'!$B$5:$B$204,A19,'Test Cases'!$L$5:$L$204,"Blocked"))</f>
        <v>0</v>
      </c>
      <c r="Q19" s="29" t="n">
        <f aca="false">IF(A19="","",COUNTIFS('Test Cases'!$B$5:$B$204,A19,'Test Cases'!$L$5:$L$204,"Not Run"))</f>
        <v>2</v>
      </c>
      <c r="R19" s="29" t="n">
        <f aca="false">IF(A19="","",COUNTIFS(Defects!$C$5:$C$104,A19,Defects!$H$5:$H$104,"Open")+COUNTIFS(Defects!$C$5:$C$104,A19,Defects!$H$5:$H$104,"In Progress")+COUNTIFS(Defects!$C$5:$C$104,A19,Defects!$H$5:$H$104,"Fixed - Retest"))</f>
        <v>0</v>
      </c>
      <c r="S19" s="30" t="str">
        <f aca="false">IF(A19="","",IF(L19&lt;&gt;"Approved","Not in scope yet",IF(M19=0,"No test coverage",IF(O19&gt;0,"Failing",IF(N19=M19,"Verified",IF(P19&gt;0,"Blocked",IF(N19&gt;0,"Partially verified","Not yet tested")))))))</f>
        <v>Not yet tested</v>
      </c>
      <c r="T19" s="13" t="s">
        <v>143</v>
      </c>
      <c r="U19" s="12"/>
      <c r="V19" s="29" t="str">
        <f aca="false">IF(OR(S19="No test coverage",S19="Failing",S19="Blocked"),ROW(),"")</f>
        <v/>
      </c>
    </row>
    <row r="20" customFormat="false" ht="31.5" hidden="false" customHeight="true" outlineLevel="0" collapsed="false">
      <c r="A20" s="13" t="s">
        <v>239</v>
      </c>
      <c r="B20" s="13" t="s">
        <v>96</v>
      </c>
      <c r="C20" s="12" t="s">
        <v>240</v>
      </c>
      <c r="D20" s="12" t="s">
        <v>241</v>
      </c>
      <c r="E20" s="13" t="s">
        <v>137</v>
      </c>
      <c r="F20" s="12" t="s">
        <v>175</v>
      </c>
      <c r="G20" s="13" t="s">
        <v>227</v>
      </c>
      <c r="H20" s="12" t="s">
        <v>242</v>
      </c>
      <c r="I20" s="12"/>
      <c r="J20" s="12" t="s">
        <v>243</v>
      </c>
      <c r="K20" s="13" t="s">
        <v>142</v>
      </c>
      <c r="L20" s="13" t="s">
        <v>89</v>
      </c>
      <c r="M20" s="29" t="n">
        <f aca="false">IF(A20="","",COUNTIFS('Test Cases'!$B$5:$B$204,A20))</f>
        <v>1</v>
      </c>
      <c r="N20" s="29" t="n">
        <f aca="false">IF(A20="","",COUNTIFS('Test Cases'!$B$5:$B$204,A20,'Test Cases'!$L$5:$L$204,"Passed"))</f>
        <v>0</v>
      </c>
      <c r="O20" s="29" t="n">
        <f aca="false">IF(A20="","",COUNTIFS('Test Cases'!$B$5:$B$204,A20,'Test Cases'!$L$5:$L$204,"Failed"))</f>
        <v>0</v>
      </c>
      <c r="P20" s="29" t="n">
        <f aca="false">IF(A20="","",COUNTIFS('Test Cases'!$B$5:$B$204,A20,'Test Cases'!$L$5:$L$204,"Blocked"))</f>
        <v>0</v>
      </c>
      <c r="Q20" s="29" t="n">
        <f aca="false">IF(A20="","",COUNTIFS('Test Cases'!$B$5:$B$204,A20,'Test Cases'!$L$5:$L$204,"Not Run"))</f>
        <v>1</v>
      </c>
      <c r="R20" s="29" t="n">
        <f aca="false">IF(A20="","",COUNTIFS(Defects!$C$5:$C$104,A20,Defects!$H$5:$H$104,"Open")+COUNTIFS(Defects!$C$5:$C$104,A20,Defects!$H$5:$H$104,"In Progress")+COUNTIFS(Defects!$C$5:$C$104,A20,Defects!$H$5:$H$104,"Fixed - Retest"))</f>
        <v>0</v>
      </c>
      <c r="S20" s="30" t="str">
        <f aca="false">IF(A20="","",IF(L20&lt;&gt;"Approved","Not in scope yet",IF(M20=0,"No test coverage",IF(O20&gt;0,"Failing",IF(N20=M20,"Verified",IF(P20&gt;0,"Blocked",IF(N20&gt;0,"Partially verified","Not yet tested")))))))</f>
        <v>Not yet tested</v>
      </c>
      <c r="T20" s="13" t="s">
        <v>143</v>
      </c>
      <c r="U20" s="12"/>
      <c r="V20" s="29" t="str">
        <f aca="false">IF(OR(S20="No test coverage",S20="Failing",S20="Blocked"),ROW(),"")</f>
        <v/>
      </c>
    </row>
    <row r="21" customFormat="false" ht="31.5" hidden="false" customHeight="true" outlineLevel="0" collapsed="false">
      <c r="A21" s="13" t="s">
        <v>244</v>
      </c>
      <c r="B21" s="13" t="s">
        <v>47</v>
      </c>
      <c r="C21" s="12" t="s">
        <v>245</v>
      </c>
      <c r="D21" s="12" t="s">
        <v>246</v>
      </c>
      <c r="E21" s="13" t="s">
        <v>137</v>
      </c>
      <c r="F21" s="12" t="s">
        <v>162</v>
      </c>
      <c r="G21" s="13" t="s">
        <v>227</v>
      </c>
      <c r="H21" s="12" t="s">
        <v>247</v>
      </c>
      <c r="I21" s="12" t="s">
        <v>248</v>
      </c>
      <c r="J21" s="12" t="s">
        <v>249</v>
      </c>
      <c r="K21" s="13" t="s">
        <v>142</v>
      </c>
      <c r="L21" s="13" t="s">
        <v>89</v>
      </c>
      <c r="M21" s="29" t="n">
        <f aca="false">IF(A21="","",COUNTIFS('Test Cases'!$B$5:$B$204,A21))</f>
        <v>1</v>
      </c>
      <c r="N21" s="29" t="n">
        <f aca="false">IF(A21="","",COUNTIFS('Test Cases'!$B$5:$B$204,A21,'Test Cases'!$L$5:$L$204,"Passed"))</f>
        <v>0</v>
      </c>
      <c r="O21" s="29" t="n">
        <f aca="false">IF(A21="","",COUNTIFS('Test Cases'!$B$5:$B$204,A21,'Test Cases'!$L$5:$L$204,"Failed"))</f>
        <v>0</v>
      </c>
      <c r="P21" s="29" t="n">
        <f aca="false">IF(A21="","",COUNTIFS('Test Cases'!$B$5:$B$204,A21,'Test Cases'!$L$5:$L$204,"Blocked"))</f>
        <v>0</v>
      </c>
      <c r="Q21" s="29" t="n">
        <f aca="false">IF(A21="","",COUNTIFS('Test Cases'!$B$5:$B$204,A21,'Test Cases'!$L$5:$L$204,"Not Run"))</f>
        <v>1</v>
      </c>
      <c r="R21" s="29" t="n">
        <f aca="false">IF(A21="","",COUNTIFS(Defects!$C$5:$C$104,A21,Defects!$H$5:$H$104,"Open")+COUNTIFS(Defects!$C$5:$C$104,A21,Defects!$H$5:$H$104,"In Progress")+COUNTIFS(Defects!$C$5:$C$104,A21,Defects!$H$5:$H$104,"Fixed - Retest"))</f>
        <v>0</v>
      </c>
      <c r="S21" s="30" t="str">
        <f aca="false">IF(A21="","",IF(L21&lt;&gt;"Approved","Not in scope yet",IF(M21=0,"No test coverage",IF(O21&gt;0,"Failing",IF(N21=M21,"Verified",IF(P21&gt;0,"Blocked",IF(N21&gt;0,"Partially verified","Not yet tested")))))))</f>
        <v>Not yet tested</v>
      </c>
      <c r="T21" s="13" t="s">
        <v>143</v>
      </c>
      <c r="U21" s="12"/>
      <c r="V21" s="29" t="str">
        <f aca="false">IF(OR(S21="No test coverage",S21="Failing",S21="Blocked"),ROW(),"")</f>
        <v/>
      </c>
    </row>
    <row r="22" customFormat="false" ht="45" hidden="false" customHeight="true" outlineLevel="0" collapsed="false">
      <c r="A22" s="13" t="s">
        <v>250</v>
      </c>
      <c r="B22" s="13" t="s">
        <v>93</v>
      </c>
      <c r="C22" s="12" t="s">
        <v>251</v>
      </c>
      <c r="D22" s="12" t="s">
        <v>252</v>
      </c>
      <c r="E22" s="13" t="s">
        <v>137</v>
      </c>
      <c r="F22" s="12" t="s">
        <v>138</v>
      </c>
      <c r="G22" s="13" t="s">
        <v>253</v>
      </c>
      <c r="H22" s="12" t="s">
        <v>254</v>
      </c>
      <c r="I22" s="12"/>
      <c r="J22" s="12" t="s">
        <v>255</v>
      </c>
      <c r="K22" s="13" t="s">
        <v>142</v>
      </c>
      <c r="L22" s="13" t="s">
        <v>89</v>
      </c>
      <c r="M22" s="29" t="n">
        <f aca="false">IF(A22="","",COUNTIFS('Test Cases'!$B$5:$B$204,A22))</f>
        <v>3</v>
      </c>
      <c r="N22" s="29" t="n">
        <f aca="false">IF(A22="","",COUNTIFS('Test Cases'!$B$5:$B$204,A22,'Test Cases'!$L$5:$L$204,"Passed"))</f>
        <v>2</v>
      </c>
      <c r="O22" s="29" t="n">
        <f aca="false">IF(A22="","",COUNTIFS('Test Cases'!$B$5:$B$204,A22,'Test Cases'!$L$5:$L$204,"Failed"))</f>
        <v>0</v>
      </c>
      <c r="P22" s="29" t="n">
        <f aca="false">IF(A22="","",COUNTIFS('Test Cases'!$B$5:$B$204,A22,'Test Cases'!$L$5:$L$204,"Blocked"))</f>
        <v>0</v>
      </c>
      <c r="Q22" s="29" t="n">
        <f aca="false">IF(A22="","",COUNTIFS('Test Cases'!$B$5:$B$204,A22,'Test Cases'!$L$5:$L$204,"Not Run"))</f>
        <v>1</v>
      </c>
      <c r="R22" s="29" t="n">
        <f aca="false">IF(A22="","",COUNTIFS(Defects!$C$5:$C$104,A22,Defects!$H$5:$H$104,"Open")+COUNTIFS(Defects!$C$5:$C$104,A22,Defects!$H$5:$H$104,"In Progress")+COUNTIFS(Defects!$C$5:$C$104,A22,Defects!$H$5:$H$104,"Fixed - Retest"))</f>
        <v>0</v>
      </c>
      <c r="S22" s="30" t="str">
        <f aca="false">IF(A22="","",IF(L22&lt;&gt;"Approved","Not in scope yet",IF(M22=0,"No test coverage",IF(O22&gt;0,"Failing",IF(N22=M22,"Verified",IF(P22&gt;0,"Blocked",IF(N22&gt;0,"Partially verified","Not yet tested")))))))</f>
        <v>Partially verified</v>
      </c>
      <c r="T22" s="13" t="s">
        <v>143</v>
      </c>
      <c r="U22" s="12"/>
      <c r="V22" s="29" t="str">
        <f aca="false">IF(OR(S22="No test coverage",S22="Failing",S22="Blocked"),ROW(),"")</f>
        <v/>
      </c>
    </row>
    <row r="23" customFormat="false" ht="45" hidden="false" customHeight="true" outlineLevel="0" collapsed="false">
      <c r="A23" s="13" t="s">
        <v>256</v>
      </c>
      <c r="B23" s="13" t="s">
        <v>94</v>
      </c>
      <c r="C23" s="12" t="s">
        <v>257</v>
      </c>
      <c r="D23" s="12" t="s">
        <v>258</v>
      </c>
      <c r="E23" s="13" t="s">
        <v>170</v>
      </c>
      <c r="F23" s="12" t="s">
        <v>147</v>
      </c>
      <c r="G23" s="13" t="s">
        <v>176</v>
      </c>
      <c r="H23" s="12" t="s">
        <v>259</v>
      </c>
      <c r="I23" s="12" t="s">
        <v>150</v>
      </c>
      <c r="J23" s="12" t="s">
        <v>260</v>
      </c>
      <c r="K23" s="13" t="s">
        <v>142</v>
      </c>
      <c r="L23" s="13" t="s">
        <v>89</v>
      </c>
      <c r="M23" s="29" t="n">
        <f aca="false">IF(A23="","",COUNTIFS('Test Cases'!$B$5:$B$204,A23))</f>
        <v>2</v>
      </c>
      <c r="N23" s="29" t="n">
        <f aca="false">IF(A23="","",COUNTIFS('Test Cases'!$B$5:$B$204,A23,'Test Cases'!$L$5:$L$204,"Passed"))</f>
        <v>0</v>
      </c>
      <c r="O23" s="29" t="n">
        <f aca="false">IF(A23="","",COUNTIFS('Test Cases'!$B$5:$B$204,A23,'Test Cases'!$L$5:$L$204,"Failed"))</f>
        <v>0</v>
      </c>
      <c r="P23" s="29" t="n">
        <f aca="false">IF(A23="","",COUNTIFS('Test Cases'!$B$5:$B$204,A23,'Test Cases'!$L$5:$L$204,"Blocked"))</f>
        <v>0</v>
      </c>
      <c r="Q23" s="29" t="n">
        <f aca="false">IF(A23="","",COUNTIFS('Test Cases'!$B$5:$B$204,A23,'Test Cases'!$L$5:$L$204,"Not Run"))</f>
        <v>2</v>
      </c>
      <c r="R23" s="29" t="n">
        <f aca="false">IF(A23="","",COUNTIFS(Defects!$C$5:$C$104,A23,Defects!$H$5:$H$104,"Open")+COUNTIFS(Defects!$C$5:$C$104,A23,Defects!$H$5:$H$104,"In Progress")+COUNTIFS(Defects!$C$5:$C$104,A23,Defects!$H$5:$H$104,"Fixed - Retest"))</f>
        <v>0</v>
      </c>
      <c r="S23" s="30" t="str">
        <f aca="false">IF(A23="","",IF(L23&lt;&gt;"Approved","Not in scope yet",IF(M23=0,"No test coverage",IF(O23&gt;0,"Failing",IF(N23=M23,"Verified",IF(P23&gt;0,"Blocked",IF(N23&gt;0,"Partially verified","Not yet tested")))))))</f>
        <v>Not yet tested</v>
      </c>
      <c r="T23" s="13" t="s">
        <v>143</v>
      </c>
      <c r="U23" s="12"/>
      <c r="V23" s="29" t="str">
        <f aca="false">IF(OR(S23="No test coverage",S23="Failing",S23="Blocked"),ROW(),"")</f>
        <v/>
      </c>
    </row>
    <row r="24" customFormat="false" ht="31.5" hidden="false" customHeight="true" outlineLevel="0" collapsed="false">
      <c r="A24" s="13" t="s">
        <v>261</v>
      </c>
      <c r="B24" s="13" t="s">
        <v>99</v>
      </c>
      <c r="C24" s="12" t="s">
        <v>262</v>
      </c>
      <c r="D24" s="12" t="s">
        <v>263</v>
      </c>
      <c r="E24" s="13" t="s">
        <v>137</v>
      </c>
      <c r="F24" s="12" t="s">
        <v>147</v>
      </c>
      <c r="G24" s="13" t="s">
        <v>208</v>
      </c>
      <c r="H24" s="12" t="s">
        <v>264</v>
      </c>
      <c r="I24" s="12" t="s">
        <v>195</v>
      </c>
      <c r="J24" s="12" t="s">
        <v>265</v>
      </c>
      <c r="K24" s="13" t="s">
        <v>142</v>
      </c>
      <c r="L24" s="13" t="s">
        <v>89</v>
      </c>
      <c r="M24" s="29" t="n">
        <f aca="false">IF(A24="","",COUNTIFS('Test Cases'!$B$5:$B$204,A24))</f>
        <v>1</v>
      </c>
      <c r="N24" s="29" t="n">
        <f aca="false">IF(A24="","",COUNTIFS('Test Cases'!$B$5:$B$204,A24,'Test Cases'!$L$5:$L$204,"Passed"))</f>
        <v>0</v>
      </c>
      <c r="O24" s="29" t="n">
        <f aca="false">IF(A24="","",COUNTIFS('Test Cases'!$B$5:$B$204,A24,'Test Cases'!$L$5:$L$204,"Failed"))</f>
        <v>0</v>
      </c>
      <c r="P24" s="29" t="n">
        <f aca="false">IF(A24="","",COUNTIFS('Test Cases'!$B$5:$B$204,A24,'Test Cases'!$L$5:$L$204,"Blocked"))</f>
        <v>1</v>
      </c>
      <c r="Q24" s="29" t="n">
        <f aca="false">IF(A24="","",COUNTIFS('Test Cases'!$B$5:$B$204,A24,'Test Cases'!$L$5:$L$204,"Not Run"))</f>
        <v>0</v>
      </c>
      <c r="R24" s="29" t="n">
        <f aca="false">IF(A24="","",COUNTIFS(Defects!$C$5:$C$104,A24,Defects!$H$5:$H$104,"Open")+COUNTIFS(Defects!$C$5:$C$104,A24,Defects!$H$5:$H$104,"In Progress")+COUNTIFS(Defects!$C$5:$C$104,A24,Defects!$H$5:$H$104,"Fixed - Retest"))</f>
        <v>0</v>
      </c>
      <c r="S24" s="30" t="str">
        <f aca="false">IF(A24="","",IF(L24&lt;&gt;"Approved","Not in scope yet",IF(M24=0,"No test coverage",IF(O24&gt;0,"Failing",IF(N24=M24,"Verified",IF(P24&gt;0,"Blocked",IF(N24&gt;0,"Partially verified","Not yet tested")))))))</f>
        <v>Blocked</v>
      </c>
      <c r="T24" s="13" t="s">
        <v>143</v>
      </c>
      <c r="U24" s="12"/>
      <c r="V24" s="29" t="n">
        <f aca="false">IF(OR(S24="No test coverage",S24="Failing",S24="Blocked"),ROW(),"")</f>
        <v>24</v>
      </c>
    </row>
    <row r="25" customFormat="false" ht="31.5" hidden="false" customHeight="true" outlineLevel="0" collapsed="false">
      <c r="A25" s="13" t="s">
        <v>266</v>
      </c>
      <c r="B25" s="13" t="s">
        <v>93</v>
      </c>
      <c r="C25" s="12" t="s">
        <v>267</v>
      </c>
      <c r="D25" s="12" t="s">
        <v>268</v>
      </c>
      <c r="E25" s="13" t="s">
        <v>170</v>
      </c>
      <c r="F25" s="12" t="s">
        <v>138</v>
      </c>
      <c r="G25" s="13" t="s">
        <v>139</v>
      </c>
      <c r="H25" s="12" t="s">
        <v>269</v>
      </c>
      <c r="I25" s="12" t="s">
        <v>183</v>
      </c>
      <c r="J25" s="12" t="s">
        <v>255</v>
      </c>
      <c r="K25" s="13" t="s">
        <v>142</v>
      </c>
      <c r="L25" s="13" t="s">
        <v>89</v>
      </c>
      <c r="M25" s="29" t="n">
        <f aca="false">IF(A25="","",COUNTIFS('Test Cases'!$B$5:$B$204,A25))</f>
        <v>2</v>
      </c>
      <c r="N25" s="29" t="n">
        <f aca="false">IF(A25="","",COUNTIFS('Test Cases'!$B$5:$B$204,A25,'Test Cases'!$L$5:$L$204,"Passed"))</f>
        <v>2</v>
      </c>
      <c r="O25" s="29" t="n">
        <f aca="false">IF(A25="","",COUNTIFS('Test Cases'!$B$5:$B$204,A25,'Test Cases'!$L$5:$L$204,"Failed"))</f>
        <v>0</v>
      </c>
      <c r="P25" s="29" t="n">
        <f aca="false">IF(A25="","",COUNTIFS('Test Cases'!$B$5:$B$204,A25,'Test Cases'!$L$5:$L$204,"Blocked"))</f>
        <v>0</v>
      </c>
      <c r="Q25" s="29" t="n">
        <f aca="false">IF(A25="","",COUNTIFS('Test Cases'!$B$5:$B$204,A25,'Test Cases'!$L$5:$L$204,"Not Run"))</f>
        <v>0</v>
      </c>
      <c r="R25" s="29" t="n">
        <f aca="false">IF(A25="","",COUNTIFS(Defects!$C$5:$C$104,A25,Defects!$H$5:$H$104,"Open")+COUNTIFS(Defects!$C$5:$C$104,A25,Defects!$H$5:$H$104,"In Progress")+COUNTIFS(Defects!$C$5:$C$104,A25,Defects!$H$5:$H$104,"Fixed - Retest"))</f>
        <v>0</v>
      </c>
      <c r="S25" s="30" t="str">
        <f aca="false">IF(A25="","",IF(L25&lt;&gt;"Approved","Not in scope yet",IF(M25=0,"No test coverage",IF(O25&gt;0,"Failing",IF(N25=M25,"Verified",IF(P25&gt;0,"Blocked",IF(N25&gt;0,"Partially verified","Not yet tested")))))))</f>
        <v>Verified</v>
      </c>
      <c r="T25" s="13" t="s">
        <v>143</v>
      </c>
      <c r="U25" s="12"/>
      <c r="V25" s="29" t="str">
        <f aca="false">IF(OR(S25="No test coverage",S25="Failing",S25="Blocked"),ROW(),"")</f>
        <v/>
      </c>
    </row>
    <row r="26" customFormat="false" ht="31.5" hidden="false" customHeight="true" outlineLevel="0" collapsed="false">
      <c r="A26" s="13" t="s">
        <v>270</v>
      </c>
      <c r="B26" s="13" t="s">
        <v>95</v>
      </c>
      <c r="C26" s="12" t="s">
        <v>271</v>
      </c>
      <c r="D26" s="12" t="s">
        <v>272</v>
      </c>
      <c r="E26" s="13" t="s">
        <v>137</v>
      </c>
      <c r="F26" s="12" t="s">
        <v>162</v>
      </c>
      <c r="G26" s="13" t="s">
        <v>155</v>
      </c>
      <c r="H26" s="12" t="s">
        <v>273</v>
      </c>
      <c r="I26" s="12" t="s">
        <v>157</v>
      </c>
      <c r="J26" s="12" t="s">
        <v>223</v>
      </c>
      <c r="K26" s="13" t="s">
        <v>142</v>
      </c>
      <c r="L26" s="13" t="s">
        <v>89</v>
      </c>
      <c r="M26" s="29" t="n">
        <f aca="false">IF(A26="","",COUNTIFS('Test Cases'!$B$5:$B$204,A26))</f>
        <v>0</v>
      </c>
      <c r="N26" s="29" t="n">
        <f aca="false">IF(A26="","",COUNTIFS('Test Cases'!$B$5:$B$204,A26,'Test Cases'!$L$5:$L$204,"Passed"))</f>
        <v>0</v>
      </c>
      <c r="O26" s="29" t="n">
        <f aca="false">IF(A26="","",COUNTIFS('Test Cases'!$B$5:$B$204,A26,'Test Cases'!$L$5:$L$204,"Failed"))</f>
        <v>0</v>
      </c>
      <c r="P26" s="29" t="n">
        <f aca="false">IF(A26="","",COUNTIFS('Test Cases'!$B$5:$B$204,A26,'Test Cases'!$L$5:$L$204,"Blocked"))</f>
        <v>0</v>
      </c>
      <c r="Q26" s="29" t="n">
        <f aca="false">IF(A26="","",COUNTIFS('Test Cases'!$B$5:$B$204,A26,'Test Cases'!$L$5:$L$204,"Not Run"))</f>
        <v>0</v>
      </c>
      <c r="R26" s="29" t="n">
        <f aca="false">IF(A26="","",COUNTIFS(Defects!$C$5:$C$104,A26,Defects!$H$5:$H$104,"Open")+COUNTIFS(Defects!$C$5:$C$104,A26,Defects!$H$5:$H$104,"In Progress")+COUNTIFS(Defects!$C$5:$C$104,A26,Defects!$H$5:$H$104,"Fixed - Retest"))</f>
        <v>0</v>
      </c>
      <c r="S26" s="30" t="str">
        <f aca="false">IF(A26="","",IF(L26&lt;&gt;"Approved","Not in scope yet",IF(M26=0,"No test coverage",IF(O26&gt;0,"Failing",IF(N26=M26,"Verified",IF(P26&gt;0,"Blocked",IF(N26&gt;0,"Partially verified","Not yet tested")))))))</f>
        <v>No test coverage</v>
      </c>
      <c r="T26" s="13" t="s">
        <v>143</v>
      </c>
      <c r="U26" s="12" t="s">
        <v>274</v>
      </c>
      <c r="V26" s="29" t="n">
        <f aca="false">IF(OR(S26="No test coverage",S26="Failing",S26="Blocked"),ROW(),"")</f>
        <v>26</v>
      </c>
    </row>
    <row r="27" customFormat="false" ht="31.5" hidden="false" customHeight="true" outlineLevel="0" collapsed="false">
      <c r="A27" s="13" t="s">
        <v>275</v>
      </c>
      <c r="B27" s="13" t="s">
        <v>93</v>
      </c>
      <c r="C27" s="12" t="s">
        <v>276</v>
      </c>
      <c r="D27" s="12" t="s">
        <v>277</v>
      </c>
      <c r="E27" s="13" t="s">
        <v>170</v>
      </c>
      <c r="F27" s="12" t="s">
        <v>138</v>
      </c>
      <c r="G27" s="13" t="s">
        <v>253</v>
      </c>
      <c r="H27" s="12" t="s">
        <v>278</v>
      </c>
      <c r="I27" s="12"/>
      <c r="J27" s="12" t="s">
        <v>279</v>
      </c>
      <c r="K27" s="13" t="s">
        <v>142</v>
      </c>
      <c r="L27" s="13" t="s">
        <v>280</v>
      </c>
      <c r="M27" s="29" t="n">
        <f aca="false">IF(A27="","",COUNTIFS('Test Cases'!$B$5:$B$204,A27))</f>
        <v>0</v>
      </c>
      <c r="N27" s="29" t="n">
        <f aca="false">IF(A27="","",COUNTIFS('Test Cases'!$B$5:$B$204,A27,'Test Cases'!$L$5:$L$204,"Passed"))</f>
        <v>0</v>
      </c>
      <c r="O27" s="29" t="n">
        <f aca="false">IF(A27="","",COUNTIFS('Test Cases'!$B$5:$B$204,A27,'Test Cases'!$L$5:$L$204,"Failed"))</f>
        <v>0</v>
      </c>
      <c r="P27" s="29" t="n">
        <f aca="false">IF(A27="","",COUNTIFS('Test Cases'!$B$5:$B$204,A27,'Test Cases'!$L$5:$L$204,"Blocked"))</f>
        <v>0</v>
      </c>
      <c r="Q27" s="29" t="n">
        <f aca="false">IF(A27="","",COUNTIFS('Test Cases'!$B$5:$B$204,A27,'Test Cases'!$L$5:$L$204,"Not Run"))</f>
        <v>0</v>
      </c>
      <c r="R27" s="29" t="n">
        <f aca="false">IF(A27="","",COUNTIFS(Defects!$C$5:$C$104,A27,Defects!$H$5:$H$104,"Open")+COUNTIFS(Defects!$C$5:$C$104,A27,Defects!$H$5:$H$104,"In Progress")+COUNTIFS(Defects!$C$5:$C$104,A27,Defects!$H$5:$H$104,"Fixed - Retest"))</f>
        <v>0</v>
      </c>
      <c r="S27" s="30" t="str">
        <f aca="false">IF(A27="","",IF(L27&lt;&gt;"Approved","Not in scope yet",IF(M27=0,"No test coverage",IF(O27&gt;0,"Failing",IF(N27=M27,"Verified",IF(P27&gt;0,"Blocked",IF(N27&gt;0,"Partially verified","Not yet tested")))))))</f>
        <v>Not in scope yet</v>
      </c>
      <c r="T27" s="13" t="s">
        <v>143</v>
      </c>
      <c r="U27" s="12" t="s">
        <v>281</v>
      </c>
      <c r="V27" s="29" t="str">
        <f aca="false">IF(OR(S27="No test coverage",S27="Failing",S27="Blocked"),ROW(),"")</f>
        <v/>
      </c>
    </row>
    <row r="28" customFormat="false" ht="31.5" hidden="false" customHeight="true" outlineLevel="0" collapsed="false">
      <c r="A28" s="13" t="s">
        <v>282</v>
      </c>
      <c r="B28" s="13" t="s">
        <v>93</v>
      </c>
      <c r="C28" s="12" t="s">
        <v>283</v>
      </c>
      <c r="D28" s="12" t="s">
        <v>284</v>
      </c>
      <c r="E28" s="13" t="s">
        <v>285</v>
      </c>
      <c r="F28" s="12" t="s">
        <v>147</v>
      </c>
      <c r="G28" s="13" t="s">
        <v>148</v>
      </c>
      <c r="H28" s="12" t="s">
        <v>286</v>
      </c>
      <c r="I28" s="12"/>
      <c r="J28" s="12" t="s">
        <v>287</v>
      </c>
      <c r="K28" s="13" t="s">
        <v>142</v>
      </c>
      <c r="L28" s="13" t="s">
        <v>288</v>
      </c>
      <c r="M28" s="29" t="n">
        <f aca="false">IF(A28="","",COUNTIFS('Test Cases'!$B$5:$B$204,A28))</f>
        <v>0</v>
      </c>
      <c r="N28" s="29" t="n">
        <f aca="false">IF(A28="","",COUNTIFS('Test Cases'!$B$5:$B$204,A28,'Test Cases'!$L$5:$L$204,"Passed"))</f>
        <v>0</v>
      </c>
      <c r="O28" s="29" t="n">
        <f aca="false">IF(A28="","",COUNTIFS('Test Cases'!$B$5:$B$204,A28,'Test Cases'!$L$5:$L$204,"Failed"))</f>
        <v>0</v>
      </c>
      <c r="P28" s="29" t="n">
        <f aca="false">IF(A28="","",COUNTIFS('Test Cases'!$B$5:$B$204,A28,'Test Cases'!$L$5:$L$204,"Blocked"))</f>
        <v>0</v>
      </c>
      <c r="Q28" s="29" t="n">
        <f aca="false">IF(A28="","",COUNTIFS('Test Cases'!$B$5:$B$204,A28,'Test Cases'!$L$5:$L$204,"Not Run"))</f>
        <v>0</v>
      </c>
      <c r="R28" s="29" t="n">
        <f aca="false">IF(A28="","",COUNTIFS(Defects!$C$5:$C$104,A28,Defects!$H$5:$H$104,"Open")+COUNTIFS(Defects!$C$5:$C$104,A28,Defects!$H$5:$H$104,"In Progress")+COUNTIFS(Defects!$C$5:$C$104,A28,Defects!$H$5:$H$104,"Fixed - Retest"))</f>
        <v>0</v>
      </c>
      <c r="S28" s="30" t="str">
        <f aca="false">IF(A28="","",IF(L28&lt;&gt;"Approved","Not in scope yet",IF(M28=0,"No test coverage",IF(O28&gt;0,"Failing",IF(N28=M28,"Verified",IF(P28&gt;0,"Blocked",IF(N28&gt;0,"Partially verified","Not yet tested")))))))</f>
        <v>Not in scope yet</v>
      </c>
      <c r="T28" s="13" t="s">
        <v>143</v>
      </c>
      <c r="U28" s="12" t="s">
        <v>289</v>
      </c>
      <c r="V28" s="29" t="str">
        <f aca="false">IF(OR(S28="No test coverage",S28="Failing",S28="Blocked"),ROW(),"")</f>
        <v/>
      </c>
    </row>
    <row r="29" customFormat="false" ht="19.5" hidden="false" customHeight="true" outlineLevel="0" collapsed="false">
      <c r="A29" s="13"/>
      <c r="B29" s="13"/>
      <c r="C29" s="12"/>
      <c r="D29" s="12"/>
      <c r="E29" s="13"/>
      <c r="F29" s="12"/>
      <c r="G29" s="13"/>
      <c r="H29" s="12"/>
      <c r="I29" s="12"/>
      <c r="J29" s="12"/>
      <c r="K29" s="13"/>
      <c r="L29" s="13"/>
      <c r="M29" s="29" t="str">
        <f aca="false">IF(A29="","",COUNTIFS('Test Cases'!$B$5:$B$204,A29))</f>
        <v/>
      </c>
      <c r="N29" s="29" t="str">
        <f aca="false">IF(A29="","",COUNTIFS('Test Cases'!$B$5:$B$204,A29,'Test Cases'!$L$5:$L$204,"Passed"))</f>
        <v/>
      </c>
      <c r="O29" s="29" t="str">
        <f aca="false">IF(A29="","",COUNTIFS('Test Cases'!$B$5:$B$204,A29,'Test Cases'!$L$5:$L$204,"Failed"))</f>
        <v/>
      </c>
      <c r="P29" s="29" t="str">
        <f aca="false">IF(A29="","",COUNTIFS('Test Cases'!$B$5:$B$204,A29,'Test Cases'!$L$5:$L$204,"Blocked"))</f>
        <v/>
      </c>
      <c r="Q29" s="29" t="str">
        <f aca="false">IF(A29="","",COUNTIFS('Test Cases'!$B$5:$B$204,A29,'Test Cases'!$L$5:$L$204,"Not Run"))</f>
        <v/>
      </c>
      <c r="R29" s="29" t="str">
        <f aca="false">IF(A29="","",COUNTIFS(Defects!$C$5:$C$104,A29,Defects!$H$5:$H$104,"Open")+COUNTIFS(Defects!$C$5:$C$104,A29,Defects!$H$5:$H$104,"In Progress")+COUNTIFS(Defects!$C$5:$C$104,A29,Defects!$H$5:$H$104,"Fixed - Retest"))</f>
        <v/>
      </c>
      <c r="S29" s="30" t="str">
        <f aca="false">IF(A29="","",IF(L29&lt;&gt;"Approved","Not in scope yet",IF(M29=0,"No test coverage",IF(O29&gt;0,"Failing",IF(N29=M29,"Verified",IF(P29&gt;0,"Blocked",IF(N29&gt;0,"Partially verified","Not yet tested")))))))</f>
        <v/>
      </c>
      <c r="T29" s="13"/>
      <c r="U29" s="12"/>
      <c r="V29" s="29" t="str">
        <f aca="false">IF(OR(S29="No test coverage",S29="Failing",S29="Blocked"),ROW(),"")</f>
        <v/>
      </c>
    </row>
    <row r="30" customFormat="false" ht="19.5" hidden="false" customHeight="true" outlineLevel="0" collapsed="false">
      <c r="A30" s="13"/>
      <c r="B30" s="13"/>
      <c r="C30" s="12"/>
      <c r="D30" s="12"/>
      <c r="E30" s="13"/>
      <c r="F30" s="12"/>
      <c r="G30" s="13"/>
      <c r="H30" s="12"/>
      <c r="I30" s="12"/>
      <c r="J30" s="12"/>
      <c r="K30" s="13"/>
      <c r="L30" s="13"/>
      <c r="M30" s="29" t="str">
        <f aca="false">IF(A30="","",COUNTIFS('Test Cases'!$B$5:$B$204,A30))</f>
        <v/>
      </c>
      <c r="N30" s="29" t="str">
        <f aca="false">IF(A30="","",COUNTIFS('Test Cases'!$B$5:$B$204,A30,'Test Cases'!$L$5:$L$204,"Passed"))</f>
        <v/>
      </c>
      <c r="O30" s="29" t="str">
        <f aca="false">IF(A30="","",COUNTIFS('Test Cases'!$B$5:$B$204,A30,'Test Cases'!$L$5:$L$204,"Failed"))</f>
        <v/>
      </c>
      <c r="P30" s="29" t="str">
        <f aca="false">IF(A30="","",COUNTIFS('Test Cases'!$B$5:$B$204,A30,'Test Cases'!$L$5:$L$204,"Blocked"))</f>
        <v/>
      </c>
      <c r="Q30" s="29" t="str">
        <f aca="false">IF(A30="","",COUNTIFS('Test Cases'!$B$5:$B$204,A30,'Test Cases'!$L$5:$L$204,"Not Run"))</f>
        <v/>
      </c>
      <c r="R30" s="29" t="str">
        <f aca="false">IF(A30="","",COUNTIFS(Defects!$C$5:$C$104,A30,Defects!$H$5:$H$104,"Open")+COUNTIFS(Defects!$C$5:$C$104,A30,Defects!$H$5:$H$104,"In Progress")+COUNTIFS(Defects!$C$5:$C$104,A30,Defects!$H$5:$H$104,"Fixed - Retest"))</f>
        <v/>
      </c>
      <c r="S30" s="30" t="str">
        <f aca="false">IF(A30="","",IF(L30&lt;&gt;"Approved","Not in scope yet",IF(M30=0,"No test coverage",IF(O30&gt;0,"Failing",IF(N30=M30,"Verified",IF(P30&gt;0,"Blocked",IF(N30&gt;0,"Partially verified","Not yet tested")))))))</f>
        <v/>
      </c>
      <c r="T30" s="13"/>
      <c r="U30" s="12"/>
      <c r="V30" s="29" t="str">
        <f aca="false">IF(OR(S30="No test coverage",S30="Failing",S30="Blocked"),ROW(),"")</f>
        <v/>
      </c>
    </row>
    <row r="31" customFormat="false" ht="19.5" hidden="false" customHeight="true" outlineLevel="0" collapsed="false">
      <c r="A31" s="13"/>
      <c r="B31" s="13"/>
      <c r="C31" s="12"/>
      <c r="D31" s="12"/>
      <c r="E31" s="13"/>
      <c r="F31" s="12"/>
      <c r="G31" s="13"/>
      <c r="H31" s="12"/>
      <c r="I31" s="12"/>
      <c r="J31" s="12"/>
      <c r="K31" s="13"/>
      <c r="L31" s="13"/>
      <c r="M31" s="29" t="str">
        <f aca="false">IF(A31="","",COUNTIFS('Test Cases'!$B$5:$B$204,A31))</f>
        <v/>
      </c>
      <c r="N31" s="29" t="str">
        <f aca="false">IF(A31="","",COUNTIFS('Test Cases'!$B$5:$B$204,A31,'Test Cases'!$L$5:$L$204,"Passed"))</f>
        <v/>
      </c>
      <c r="O31" s="29" t="str">
        <f aca="false">IF(A31="","",COUNTIFS('Test Cases'!$B$5:$B$204,A31,'Test Cases'!$L$5:$L$204,"Failed"))</f>
        <v/>
      </c>
      <c r="P31" s="29" t="str">
        <f aca="false">IF(A31="","",COUNTIFS('Test Cases'!$B$5:$B$204,A31,'Test Cases'!$L$5:$L$204,"Blocked"))</f>
        <v/>
      </c>
      <c r="Q31" s="29" t="str">
        <f aca="false">IF(A31="","",COUNTIFS('Test Cases'!$B$5:$B$204,A31,'Test Cases'!$L$5:$L$204,"Not Run"))</f>
        <v/>
      </c>
      <c r="R31" s="29" t="str">
        <f aca="false">IF(A31="","",COUNTIFS(Defects!$C$5:$C$104,A31,Defects!$H$5:$H$104,"Open")+COUNTIFS(Defects!$C$5:$C$104,A31,Defects!$H$5:$H$104,"In Progress")+COUNTIFS(Defects!$C$5:$C$104,A31,Defects!$H$5:$H$104,"Fixed - Retest"))</f>
        <v/>
      </c>
      <c r="S31" s="30" t="str">
        <f aca="false">IF(A31="","",IF(L31&lt;&gt;"Approved","Not in scope yet",IF(M31=0,"No test coverage",IF(O31&gt;0,"Failing",IF(N31=M31,"Verified",IF(P31&gt;0,"Blocked",IF(N31&gt;0,"Partially verified","Not yet tested")))))))</f>
        <v/>
      </c>
      <c r="T31" s="13"/>
      <c r="U31" s="12"/>
      <c r="V31" s="29" t="str">
        <f aca="false">IF(OR(S31="No test coverage",S31="Failing",S31="Blocked"),ROW(),"")</f>
        <v/>
      </c>
    </row>
    <row r="32" customFormat="false" ht="19.5" hidden="false" customHeight="true" outlineLevel="0" collapsed="false">
      <c r="A32" s="13"/>
      <c r="B32" s="13"/>
      <c r="C32" s="12"/>
      <c r="D32" s="12"/>
      <c r="E32" s="13"/>
      <c r="F32" s="12"/>
      <c r="G32" s="13"/>
      <c r="H32" s="12"/>
      <c r="I32" s="12"/>
      <c r="J32" s="12"/>
      <c r="K32" s="13"/>
      <c r="L32" s="13"/>
      <c r="M32" s="29" t="str">
        <f aca="false">IF(A32="","",COUNTIFS('Test Cases'!$B$5:$B$204,A32))</f>
        <v/>
      </c>
      <c r="N32" s="29" t="str">
        <f aca="false">IF(A32="","",COUNTIFS('Test Cases'!$B$5:$B$204,A32,'Test Cases'!$L$5:$L$204,"Passed"))</f>
        <v/>
      </c>
      <c r="O32" s="29" t="str">
        <f aca="false">IF(A32="","",COUNTIFS('Test Cases'!$B$5:$B$204,A32,'Test Cases'!$L$5:$L$204,"Failed"))</f>
        <v/>
      </c>
      <c r="P32" s="29" t="str">
        <f aca="false">IF(A32="","",COUNTIFS('Test Cases'!$B$5:$B$204,A32,'Test Cases'!$L$5:$L$204,"Blocked"))</f>
        <v/>
      </c>
      <c r="Q32" s="29" t="str">
        <f aca="false">IF(A32="","",COUNTIFS('Test Cases'!$B$5:$B$204,A32,'Test Cases'!$L$5:$L$204,"Not Run"))</f>
        <v/>
      </c>
      <c r="R32" s="29" t="str">
        <f aca="false">IF(A32="","",COUNTIFS(Defects!$C$5:$C$104,A32,Defects!$H$5:$H$104,"Open")+COUNTIFS(Defects!$C$5:$C$104,A32,Defects!$H$5:$H$104,"In Progress")+COUNTIFS(Defects!$C$5:$C$104,A32,Defects!$H$5:$H$104,"Fixed - Retest"))</f>
        <v/>
      </c>
      <c r="S32" s="30" t="str">
        <f aca="false">IF(A32="","",IF(L32&lt;&gt;"Approved","Not in scope yet",IF(M32=0,"No test coverage",IF(O32&gt;0,"Failing",IF(N32=M32,"Verified",IF(P32&gt;0,"Blocked",IF(N32&gt;0,"Partially verified","Not yet tested")))))))</f>
        <v/>
      </c>
      <c r="T32" s="13"/>
      <c r="U32" s="12"/>
      <c r="V32" s="29" t="str">
        <f aca="false">IF(OR(S32="No test coverage",S32="Failing",S32="Blocked"),ROW(),"")</f>
        <v/>
      </c>
    </row>
    <row r="33" customFormat="false" ht="19.5" hidden="false" customHeight="true" outlineLevel="0" collapsed="false">
      <c r="A33" s="13"/>
      <c r="B33" s="13"/>
      <c r="C33" s="12"/>
      <c r="D33" s="12"/>
      <c r="E33" s="13"/>
      <c r="F33" s="12"/>
      <c r="G33" s="13"/>
      <c r="H33" s="12"/>
      <c r="I33" s="12"/>
      <c r="J33" s="12"/>
      <c r="K33" s="13"/>
      <c r="L33" s="13"/>
      <c r="M33" s="29" t="str">
        <f aca="false">IF(A33="","",COUNTIFS('Test Cases'!$B$5:$B$204,A33))</f>
        <v/>
      </c>
      <c r="N33" s="29" t="str">
        <f aca="false">IF(A33="","",COUNTIFS('Test Cases'!$B$5:$B$204,A33,'Test Cases'!$L$5:$L$204,"Passed"))</f>
        <v/>
      </c>
      <c r="O33" s="29" t="str">
        <f aca="false">IF(A33="","",COUNTIFS('Test Cases'!$B$5:$B$204,A33,'Test Cases'!$L$5:$L$204,"Failed"))</f>
        <v/>
      </c>
      <c r="P33" s="29" t="str">
        <f aca="false">IF(A33="","",COUNTIFS('Test Cases'!$B$5:$B$204,A33,'Test Cases'!$L$5:$L$204,"Blocked"))</f>
        <v/>
      </c>
      <c r="Q33" s="29" t="str">
        <f aca="false">IF(A33="","",COUNTIFS('Test Cases'!$B$5:$B$204,A33,'Test Cases'!$L$5:$L$204,"Not Run"))</f>
        <v/>
      </c>
      <c r="R33" s="29" t="str">
        <f aca="false">IF(A33="","",COUNTIFS(Defects!$C$5:$C$104,A33,Defects!$H$5:$H$104,"Open")+COUNTIFS(Defects!$C$5:$C$104,A33,Defects!$H$5:$H$104,"In Progress")+COUNTIFS(Defects!$C$5:$C$104,A33,Defects!$H$5:$H$104,"Fixed - Retest"))</f>
        <v/>
      </c>
      <c r="S33" s="30" t="str">
        <f aca="false">IF(A33="","",IF(L33&lt;&gt;"Approved","Not in scope yet",IF(M33=0,"No test coverage",IF(O33&gt;0,"Failing",IF(N33=M33,"Verified",IF(P33&gt;0,"Blocked",IF(N33&gt;0,"Partially verified","Not yet tested")))))))</f>
        <v/>
      </c>
      <c r="T33" s="13"/>
      <c r="U33" s="12"/>
      <c r="V33" s="29" t="str">
        <f aca="false">IF(OR(S33="No test coverage",S33="Failing",S33="Blocked"),ROW(),"")</f>
        <v/>
      </c>
    </row>
    <row r="34" customFormat="false" ht="19.5" hidden="false" customHeight="true" outlineLevel="0" collapsed="false">
      <c r="A34" s="13"/>
      <c r="B34" s="13"/>
      <c r="C34" s="12"/>
      <c r="D34" s="12"/>
      <c r="E34" s="13"/>
      <c r="F34" s="12"/>
      <c r="G34" s="13"/>
      <c r="H34" s="12"/>
      <c r="I34" s="12"/>
      <c r="J34" s="12"/>
      <c r="K34" s="13"/>
      <c r="L34" s="13"/>
      <c r="M34" s="29" t="str">
        <f aca="false">IF(A34="","",COUNTIFS('Test Cases'!$B$5:$B$204,A34))</f>
        <v/>
      </c>
      <c r="N34" s="29" t="str">
        <f aca="false">IF(A34="","",COUNTIFS('Test Cases'!$B$5:$B$204,A34,'Test Cases'!$L$5:$L$204,"Passed"))</f>
        <v/>
      </c>
      <c r="O34" s="29" t="str">
        <f aca="false">IF(A34="","",COUNTIFS('Test Cases'!$B$5:$B$204,A34,'Test Cases'!$L$5:$L$204,"Failed"))</f>
        <v/>
      </c>
      <c r="P34" s="29" t="str">
        <f aca="false">IF(A34="","",COUNTIFS('Test Cases'!$B$5:$B$204,A34,'Test Cases'!$L$5:$L$204,"Blocked"))</f>
        <v/>
      </c>
      <c r="Q34" s="29" t="str">
        <f aca="false">IF(A34="","",COUNTIFS('Test Cases'!$B$5:$B$204,A34,'Test Cases'!$L$5:$L$204,"Not Run"))</f>
        <v/>
      </c>
      <c r="R34" s="29" t="str">
        <f aca="false">IF(A34="","",COUNTIFS(Defects!$C$5:$C$104,A34,Defects!$H$5:$H$104,"Open")+COUNTIFS(Defects!$C$5:$C$104,A34,Defects!$H$5:$H$104,"In Progress")+COUNTIFS(Defects!$C$5:$C$104,A34,Defects!$H$5:$H$104,"Fixed - Retest"))</f>
        <v/>
      </c>
      <c r="S34" s="30" t="str">
        <f aca="false">IF(A34="","",IF(L34&lt;&gt;"Approved","Not in scope yet",IF(M34=0,"No test coverage",IF(O34&gt;0,"Failing",IF(N34=M34,"Verified",IF(P34&gt;0,"Blocked",IF(N34&gt;0,"Partially verified","Not yet tested")))))))</f>
        <v/>
      </c>
      <c r="T34" s="13"/>
      <c r="U34" s="12"/>
      <c r="V34" s="29" t="str">
        <f aca="false">IF(OR(S34="No test coverage",S34="Failing",S34="Blocked"),ROW(),"")</f>
        <v/>
      </c>
    </row>
    <row r="35" customFormat="false" ht="19.5" hidden="false" customHeight="true" outlineLevel="0" collapsed="false">
      <c r="A35" s="13"/>
      <c r="B35" s="13"/>
      <c r="C35" s="12"/>
      <c r="D35" s="12"/>
      <c r="E35" s="13"/>
      <c r="F35" s="12"/>
      <c r="G35" s="13"/>
      <c r="H35" s="12"/>
      <c r="I35" s="12"/>
      <c r="J35" s="12"/>
      <c r="K35" s="13"/>
      <c r="L35" s="13"/>
      <c r="M35" s="29" t="str">
        <f aca="false">IF(A35="","",COUNTIFS('Test Cases'!$B$5:$B$204,A35))</f>
        <v/>
      </c>
      <c r="N35" s="29" t="str">
        <f aca="false">IF(A35="","",COUNTIFS('Test Cases'!$B$5:$B$204,A35,'Test Cases'!$L$5:$L$204,"Passed"))</f>
        <v/>
      </c>
      <c r="O35" s="29" t="str">
        <f aca="false">IF(A35="","",COUNTIFS('Test Cases'!$B$5:$B$204,A35,'Test Cases'!$L$5:$L$204,"Failed"))</f>
        <v/>
      </c>
      <c r="P35" s="29" t="str">
        <f aca="false">IF(A35="","",COUNTIFS('Test Cases'!$B$5:$B$204,A35,'Test Cases'!$L$5:$L$204,"Blocked"))</f>
        <v/>
      </c>
      <c r="Q35" s="29" t="str">
        <f aca="false">IF(A35="","",COUNTIFS('Test Cases'!$B$5:$B$204,A35,'Test Cases'!$L$5:$L$204,"Not Run"))</f>
        <v/>
      </c>
      <c r="R35" s="29" t="str">
        <f aca="false">IF(A35="","",COUNTIFS(Defects!$C$5:$C$104,A35,Defects!$H$5:$H$104,"Open")+COUNTIFS(Defects!$C$5:$C$104,A35,Defects!$H$5:$H$104,"In Progress")+COUNTIFS(Defects!$C$5:$C$104,A35,Defects!$H$5:$H$104,"Fixed - Retest"))</f>
        <v/>
      </c>
      <c r="S35" s="30" t="str">
        <f aca="false">IF(A35="","",IF(L35&lt;&gt;"Approved","Not in scope yet",IF(M35=0,"No test coverage",IF(O35&gt;0,"Failing",IF(N35=M35,"Verified",IF(P35&gt;0,"Blocked",IF(N35&gt;0,"Partially verified","Not yet tested")))))))</f>
        <v/>
      </c>
      <c r="T35" s="13"/>
      <c r="U35" s="12"/>
      <c r="V35" s="29" t="str">
        <f aca="false">IF(OR(S35="No test coverage",S35="Failing",S35="Blocked"),ROW(),"")</f>
        <v/>
      </c>
    </row>
    <row r="36" customFormat="false" ht="19.5" hidden="false" customHeight="true" outlineLevel="0" collapsed="false">
      <c r="A36" s="13"/>
      <c r="B36" s="13"/>
      <c r="C36" s="12"/>
      <c r="D36" s="12"/>
      <c r="E36" s="13"/>
      <c r="F36" s="12"/>
      <c r="G36" s="13"/>
      <c r="H36" s="12"/>
      <c r="I36" s="12"/>
      <c r="J36" s="12"/>
      <c r="K36" s="13"/>
      <c r="L36" s="13"/>
      <c r="M36" s="29" t="str">
        <f aca="false">IF(A36="","",COUNTIFS('Test Cases'!$B$5:$B$204,A36))</f>
        <v/>
      </c>
      <c r="N36" s="29" t="str">
        <f aca="false">IF(A36="","",COUNTIFS('Test Cases'!$B$5:$B$204,A36,'Test Cases'!$L$5:$L$204,"Passed"))</f>
        <v/>
      </c>
      <c r="O36" s="29" t="str">
        <f aca="false">IF(A36="","",COUNTIFS('Test Cases'!$B$5:$B$204,A36,'Test Cases'!$L$5:$L$204,"Failed"))</f>
        <v/>
      </c>
      <c r="P36" s="29" t="str">
        <f aca="false">IF(A36="","",COUNTIFS('Test Cases'!$B$5:$B$204,A36,'Test Cases'!$L$5:$L$204,"Blocked"))</f>
        <v/>
      </c>
      <c r="Q36" s="29" t="str">
        <f aca="false">IF(A36="","",COUNTIFS('Test Cases'!$B$5:$B$204,A36,'Test Cases'!$L$5:$L$204,"Not Run"))</f>
        <v/>
      </c>
      <c r="R36" s="29" t="str">
        <f aca="false">IF(A36="","",COUNTIFS(Defects!$C$5:$C$104,A36,Defects!$H$5:$H$104,"Open")+COUNTIFS(Defects!$C$5:$C$104,A36,Defects!$H$5:$H$104,"In Progress")+COUNTIFS(Defects!$C$5:$C$104,A36,Defects!$H$5:$H$104,"Fixed - Retest"))</f>
        <v/>
      </c>
      <c r="S36" s="30" t="str">
        <f aca="false">IF(A36="","",IF(L36&lt;&gt;"Approved","Not in scope yet",IF(M36=0,"No test coverage",IF(O36&gt;0,"Failing",IF(N36=M36,"Verified",IF(P36&gt;0,"Blocked",IF(N36&gt;0,"Partially verified","Not yet tested")))))))</f>
        <v/>
      </c>
      <c r="T36" s="13"/>
      <c r="U36" s="12"/>
      <c r="V36" s="29" t="str">
        <f aca="false">IF(OR(S36="No test coverage",S36="Failing",S36="Blocked"),ROW(),"")</f>
        <v/>
      </c>
    </row>
    <row r="37" customFormat="false" ht="19.5" hidden="false" customHeight="true" outlineLevel="0" collapsed="false">
      <c r="A37" s="13"/>
      <c r="B37" s="13"/>
      <c r="C37" s="12"/>
      <c r="D37" s="12"/>
      <c r="E37" s="13"/>
      <c r="F37" s="12"/>
      <c r="G37" s="13"/>
      <c r="H37" s="12"/>
      <c r="I37" s="12"/>
      <c r="J37" s="12"/>
      <c r="K37" s="13"/>
      <c r="L37" s="13"/>
      <c r="M37" s="29" t="str">
        <f aca="false">IF(A37="","",COUNTIFS('Test Cases'!$B$5:$B$204,A37))</f>
        <v/>
      </c>
      <c r="N37" s="29" t="str">
        <f aca="false">IF(A37="","",COUNTIFS('Test Cases'!$B$5:$B$204,A37,'Test Cases'!$L$5:$L$204,"Passed"))</f>
        <v/>
      </c>
      <c r="O37" s="29" t="str">
        <f aca="false">IF(A37="","",COUNTIFS('Test Cases'!$B$5:$B$204,A37,'Test Cases'!$L$5:$L$204,"Failed"))</f>
        <v/>
      </c>
      <c r="P37" s="29" t="str">
        <f aca="false">IF(A37="","",COUNTIFS('Test Cases'!$B$5:$B$204,A37,'Test Cases'!$L$5:$L$204,"Blocked"))</f>
        <v/>
      </c>
      <c r="Q37" s="29" t="str">
        <f aca="false">IF(A37="","",COUNTIFS('Test Cases'!$B$5:$B$204,A37,'Test Cases'!$L$5:$L$204,"Not Run"))</f>
        <v/>
      </c>
      <c r="R37" s="29" t="str">
        <f aca="false">IF(A37="","",COUNTIFS(Defects!$C$5:$C$104,A37,Defects!$H$5:$H$104,"Open")+COUNTIFS(Defects!$C$5:$C$104,A37,Defects!$H$5:$H$104,"In Progress")+COUNTIFS(Defects!$C$5:$C$104,A37,Defects!$H$5:$H$104,"Fixed - Retest"))</f>
        <v/>
      </c>
      <c r="S37" s="30" t="str">
        <f aca="false">IF(A37="","",IF(L37&lt;&gt;"Approved","Not in scope yet",IF(M37=0,"No test coverage",IF(O37&gt;0,"Failing",IF(N37=M37,"Verified",IF(P37&gt;0,"Blocked",IF(N37&gt;0,"Partially verified","Not yet tested")))))))</f>
        <v/>
      </c>
      <c r="T37" s="13"/>
      <c r="U37" s="12"/>
      <c r="V37" s="29" t="str">
        <f aca="false">IF(OR(S37="No test coverage",S37="Failing",S37="Blocked"),ROW(),"")</f>
        <v/>
      </c>
    </row>
    <row r="38" customFormat="false" ht="19.5" hidden="false" customHeight="true" outlineLevel="0" collapsed="false">
      <c r="A38" s="13"/>
      <c r="B38" s="13"/>
      <c r="C38" s="12"/>
      <c r="D38" s="12"/>
      <c r="E38" s="13"/>
      <c r="F38" s="12"/>
      <c r="G38" s="13"/>
      <c r="H38" s="12"/>
      <c r="I38" s="12"/>
      <c r="J38" s="12"/>
      <c r="K38" s="13"/>
      <c r="L38" s="13"/>
      <c r="M38" s="29" t="str">
        <f aca="false">IF(A38="","",COUNTIFS('Test Cases'!$B$5:$B$204,A38))</f>
        <v/>
      </c>
      <c r="N38" s="29" t="str">
        <f aca="false">IF(A38="","",COUNTIFS('Test Cases'!$B$5:$B$204,A38,'Test Cases'!$L$5:$L$204,"Passed"))</f>
        <v/>
      </c>
      <c r="O38" s="29" t="str">
        <f aca="false">IF(A38="","",COUNTIFS('Test Cases'!$B$5:$B$204,A38,'Test Cases'!$L$5:$L$204,"Failed"))</f>
        <v/>
      </c>
      <c r="P38" s="29" t="str">
        <f aca="false">IF(A38="","",COUNTIFS('Test Cases'!$B$5:$B$204,A38,'Test Cases'!$L$5:$L$204,"Blocked"))</f>
        <v/>
      </c>
      <c r="Q38" s="29" t="str">
        <f aca="false">IF(A38="","",COUNTIFS('Test Cases'!$B$5:$B$204,A38,'Test Cases'!$L$5:$L$204,"Not Run"))</f>
        <v/>
      </c>
      <c r="R38" s="29" t="str">
        <f aca="false">IF(A38="","",COUNTIFS(Defects!$C$5:$C$104,A38,Defects!$H$5:$H$104,"Open")+COUNTIFS(Defects!$C$5:$C$104,A38,Defects!$H$5:$H$104,"In Progress")+COUNTIFS(Defects!$C$5:$C$104,A38,Defects!$H$5:$H$104,"Fixed - Retest"))</f>
        <v/>
      </c>
      <c r="S38" s="30" t="str">
        <f aca="false">IF(A38="","",IF(L38&lt;&gt;"Approved","Not in scope yet",IF(M38=0,"No test coverage",IF(O38&gt;0,"Failing",IF(N38=M38,"Verified",IF(P38&gt;0,"Blocked",IF(N38&gt;0,"Partially verified","Not yet tested")))))))</f>
        <v/>
      </c>
      <c r="T38" s="13"/>
      <c r="U38" s="12"/>
      <c r="V38" s="29" t="str">
        <f aca="false">IF(OR(S38="No test coverage",S38="Failing",S38="Blocked"),ROW(),"")</f>
        <v/>
      </c>
    </row>
    <row r="39" customFormat="false" ht="19.5" hidden="false" customHeight="true" outlineLevel="0" collapsed="false">
      <c r="A39" s="13"/>
      <c r="B39" s="13"/>
      <c r="C39" s="12"/>
      <c r="D39" s="12"/>
      <c r="E39" s="13"/>
      <c r="F39" s="12"/>
      <c r="G39" s="13"/>
      <c r="H39" s="12"/>
      <c r="I39" s="12"/>
      <c r="J39" s="12"/>
      <c r="K39" s="13"/>
      <c r="L39" s="13"/>
      <c r="M39" s="29" t="str">
        <f aca="false">IF(A39="","",COUNTIFS('Test Cases'!$B$5:$B$204,A39))</f>
        <v/>
      </c>
      <c r="N39" s="29" t="str">
        <f aca="false">IF(A39="","",COUNTIFS('Test Cases'!$B$5:$B$204,A39,'Test Cases'!$L$5:$L$204,"Passed"))</f>
        <v/>
      </c>
      <c r="O39" s="29" t="str">
        <f aca="false">IF(A39="","",COUNTIFS('Test Cases'!$B$5:$B$204,A39,'Test Cases'!$L$5:$L$204,"Failed"))</f>
        <v/>
      </c>
      <c r="P39" s="29" t="str">
        <f aca="false">IF(A39="","",COUNTIFS('Test Cases'!$B$5:$B$204,A39,'Test Cases'!$L$5:$L$204,"Blocked"))</f>
        <v/>
      </c>
      <c r="Q39" s="29" t="str">
        <f aca="false">IF(A39="","",COUNTIFS('Test Cases'!$B$5:$B$204,A39,'Test Cases'!$L$5:$L$204,"Not Run"))</f>
        <v/>
      </c>
      <c r="R39" s="29" t="str">
        <f aca="false">IF(A39="","",COUNTIFS(Defects!$C$5:$C$104,A39,Defects!$H$5:$H$104,"Open")+COUNTIFS(Defects!$C$5:$C$104,A39,Defects!$H$5:$H$104,"In Progress")+COUNTIFS(Defects!$C$5:$C$104,A39,Defects!$H$5:$H$104,"Fixed - Retest"))</f>
        <v/>
      </c>
      <c r="S39" s="30" t="str">
        <f aca="false">IF(A39="","",IF(L39&lt;&gt;"Approved","Not in scope yet",IF(M39=0,"No test coverage",IF(O39&gt;0,"Failing",IF(N39=M39,"Verified",IF(P39&gt;0,"Blocked",IF(N39&gt;0,"Partially verified","Not yet tested")))))))</f>
        <v/>
      </c>
      <c r="T39" s="13"/>
      <c r="U39" s="12"/>
      <c r="V39" s="29" t="str">
        <f aca="false">IF(OR(S39="No test coverage",S39="Failing",S39="Blocked"),ROW(),"")</f>
        <v/>
      </c>
    </row>
    <row r="40" customFormat="false" ht="19.5" hidden="false" customHeight="true" outlineLevel="0" collapsed="false">
      <c r="A40" s="13"/>
      <c r="B40" s="13"/>
      <c r="C40" s="12"/>
      <c r="D40" s="12"/>
      <c r="E40" s="13"/>
      <c r="F40" s="12"/>
      <c r="G40" s="13"/>
      <c r="H40" s="12"/>
      <c r="I40" s="12"/>
      <c r="J40" s="12"/>
      <c r="K40" s="13"/>
      <c r="L40" s="13"/>
      <c r="M40" s="29" t="str">
        <f aca="false">IF(A40="","",COUNTIFS('Test Cases'!$B$5:$B$204,A40))</f>
        <v/>
      </c>
      <c r="N40" s="29" t="str">
        <f aca="false">IF(A40="","",COUNTIFS('Test Cases'!$B$5:$B$204,A40,'Test Cases'!$L$5:$L$204,"Passed"))</f>
        <v/>
      </c>
      <c r="O40" s="29" t="str">
        <f aca="false">IF(A40="","",COUNTIFS('Test Cases'!$B$5:$B$204,A40,'Test Cases'!$L$5:$L$204,"Failed"))</f>
        <v/>
      </c>
      <c r="P40" s="29" t="str">
        <f aca="false">IF(A40="","",COUNTIFS('Test Cases'!$B$5:$B$204,A40,'Test Cases'!$L$5:$L$204,"Blocked"))</f>
        <v/>
      </c>
      <c r="Q40" s="29" t="str">
        <f aca="false">IF(A40="","",COUNTIFS('Test Cases'!$B$5:$B$204,A40,'Test Cases'!$L$5:$L$204,"Not Run"))</f>
        <v/>
      </c>
      <c r="R40" s="29" t="str">
        <f aca="false">IF(A40="","",COUNTIFS(Defects!$C$5:$C$104,A40,Defects!$H$5:$H$104,"Open")+COUNTIFS(Defects!$C$5:$C$104,A40,Defects!$H$5:$H$104,"In Progress")+COUNTIFS(Defects!$C$5:$C$104,A40,Defects!$H$5:$H$104,"Fixed - Retest"))</f>
        <v/>
      </c>
      <c r="S40" s="30" t="str">
        <f aca="false">IF(A40="","",IF(L40&lt;&gt;"Approved","Not in scope yet",IF(M40=0,"No test coverage",IF(O40&gt;0,"Failing",IF(N40=M40,"Verified",IF(P40&gt;0,"Blocked",IF(N40&gt;0,"Partially verified","Not yet tested")))))))</f>
        <v/>
      </c>
      <c r="T40" s="13"/>
      <c r="U40" s="12"/>
      <c r="V40" s="29" t="str">
        <f aca="false">IF(OR(S40="No test coverage",S40="Failing",S40="Blocked"),ROW(),"")</f>
        <v/>
      </c>
    </row>
    <row r="41" customFormat="false" ht="19.5" hidden="false" customHeight="true" outlineLevel="0" collapsed="false">
      <c r="A41" s="13"/>
      <c r="B41" s="13"/>
      <c r="C41" s="12"/>
      <c r="D41" s="12"/>
      <c r="E41" s="13"/>
      <c r="F41" s="12"/>
      <c r="G41" s="13"/>
      <c r="H41" s="12"/>
      <c r="I41" s="12"/>
      <c r="J41" s="12"/>
      <c r="K41" s="13"/>
      <c r="L41" s="13"/>
      <c r="M41" s="29" t="str">
        <f aca="false">IF(A41="","",COUNTIFS('Test Cases'!$B$5:$B$204,A41))</f>
        <v/>
      </c>
      <c r="N41" s="29" t="str">
        <f aca="false">IF(A41="","",COUNTIFS('Test Cases'!$B$5:$B$204,A41,'Test Cases'!$L$5:$L$204,"Passed"))</f>
        <v/>
      </c>
      <c r="O41" s="29" t="str">
        <f aca="false">IF(A41="","",COUNTIFS('Test Cases'!$B$5:$B$204,A41,'Test Cases'!$L$5:$L$204,"Failed"))</f>
        <v/>
      </c>
      <c r="P41" s="29" t="str">
        <f aca="false">IF(A41="","",COUNTIFS('Test Cases'!$B$5:$B$204,A41,'Test Cases'!$L$5:$L$204,"Blocked"))</f>
        <v/>
      </c>
      <c r="Q41" s="29" t="str">
        <f aca="false">IF(A41="","",COUNTIFS('Test Cases'!$B$5:$B$204,A41,'Test Cases'!$L$5:$L$204,"Not Run"))</f>
        <v/>
      </c>
      <c r="R41" s="29" t="str">
        <f aca="false">IF(A41="","",COUNTIFS(Defects!$C$5:$C$104,A41,Defects!$H$5:$H$104,"Open")+COUNTIFS(Defects!$C$5:$C$104,A41,Defects!$H$5:$H$104,"In Progress")+COUNTIFS(Defects!$C$5:$C$104,A41,Defects!$H$5:$H$104,"Fixed - Retest"))</f>
        <v/>
      </c>
      <c r="S41" s="30" t="str">
        <f aca="false">IF(A41="","",IF(L41&lt;&gt;"Approved","Not in scope yet",IF(M41=0,"No test coverage",IF(O41&gt;0,"Failing",IF(N41=M41,"Verified",IF(P41&gt;0,"Blocked",IF(N41&gt;0,"Partially verified","Not yet tested")))))))</f>
        <v/>
      </c>
      <c r="T41" s="13"/>
      <c r="U41" s="12"/>
      <c r="V41" s="29" t="str">
        <f aca="false">IF(OR(S41="No test coverage",S41="Failing",S41="Blocked"),ROW(),"")</f>
        <v/>
      </c>
    </row>
    <row r="42" customFormat="false" ht="19.5" hidden="false" customHeight="true" outlineLevel="0" collapsed="false">
      <c r="A42" s="13"/>
      <c r="B42" s="13"/>
      <c r="C42" s="12"/>
      <c r="D42" s="12"/>
      <c r="E42" s="13"/>
      <c r="F42" s="12"/>
      <c r="G42" s="13"/>
      <c r="H42" s="12"/>
      <c r="I42" s="12"/>
      <c r="J42" s="12"/>
      <c r="K42" s="13"/>
      <c r="L42" s="13"/>
      <c r="M42" s="29" t="str">
        <f aca="false">IF(A42="","",COUNTIFS('Test Cases'!$B$5:$B$204,A42))</f>
        <v/>
      </c>
      <c r="N42" s="29" t="str">
        <f aca="false">IF(A42="","",COUNTIFS('Test Cases'!$B$5:$B$204,A42,'Test Cases'!$L$5:$L$204,"Passed"))</f>
        <v/>
      </c>
      <c r="O42" s="29" t="str">
        <f aca="false">IF(A42="","",COUNTIFS('Test Cases'!$B$5:$B$204,A42,'Test Cases'!$L$5:$L$204,"Failed"))</f>
        <v/>
      </c>
      <c r="P42" s="29" t="str">
        <f aca="false">IF(A42="","",COUNTIFS('Test Cases'!$B$5:$B$204,A42,'Test Cases'!$L$5:$L$204,"Blocked"))</f>
        <v/>
      </c>
      <c r="Q42" s="29" t="str">
        <f aca="false">IF(A42="","",COUNTIFS('Test Cases'!$B$5:$B$204,A42,'Test Cases'!$L$5:$L$204,"Not Run"))</f>
        <v/>
      </c>
      <c r="R42" s="29" t="str">
        <f aca="false">IF(A42="","",COUNTIFS(Defects!$C$5:$C$104,A42,Defects!$H$5:$H$104,"Open")+COUNTIFS(Defects!$C$5:$C$104,A42,Defects!$H$5:$H$104,"In Progress")+COUNTIFS(Defects!$C$5:$C$104,A42,Defects!$H$5:$H$104,"Fixed - Retest"))</f>
        <v/>
      </c>
      <c r="S42" s="30" t="str">
        <f aca="false">IF(A42="","",IF(L42&lt;&gt;"Approved","Not in scope yet",IF(M42=0,"No test coverage",IF(O42&gt;0,"Failing",IF(N42=M42,"Verified",IF(P42&gt;0,"Blocked",IF(N42&gt;0,"Partially verified","Not yet tested")))))))</f>
        <v/>
      </c>
      <c r="T42" s="13"/>
      <c r="U42" s="12"/>
      <c r="V42" s="29" t="str">
        <f aca="false">IF(OR(S42="No test coverage",S42="Failing",S42="Blocked"),ROW(),"")</f>
        <v/>
      </c>
    </row>
    <row r="43" customFormat="false" ht="19.5" hidden="false" customHeight="true" outlineLevel="0" collapsed="false">
      <c r="A43" s="13"/>
      <c r="B43" s="13"/>
      <c r="C43" s="12"/>
      <c r="D43" s="12"/>
      <c r="E43" s="13"/>
      <c r="F43" s="12"/>
      <c r="G43" s="13"/>
      <c r="H43" s="12"/>
      <c r="I43" s="12"/>
      <c r="J43" s="12"/>
      <c r="K43" s="13"/>
      <c r="L43" s="13"/>
      <c r="M43" s="29" t="str">
        <f aca="false">IF(A43="","",COUNTIFS('Test Cases'!$B$5:$B$204,A43))</f>
        <v/>
      </c>
      <c r="N43" s="29" t="str">
        <f aca="false">IF(A43="","",COUNTIFS('Test Cases'!$B$5:$B$204,A43,'Test Cases'!$L$5:$L$204,"Passed"))</f>
        <v/>
      </c>
      <c r="O43" s="29" t="str">
        <f aca="false">IF(A43="","",COUNTIFS('Test Cases'!$B$5:$B$204,A43,'Test Cases'!$L$5:$L$204,"Failed"))</f>
        <v/>
      </c>
      <c r="P43" s="29" t="str">
        <f aca="false">IF(A43="","",COUNTIFS('Test Cases'!$B$5:$B$204,A43,'Test Cases'!$L$5:$L$204,"Blocked"))</f>
        <v/>
      </c>
      <c r="Q43" s="29" t="str">
        <f aca="false">IF(A43="","",COUNTIFS('Test Cases'!$B$5:$B$204,A43,'Test Cases'!$L$5:$L$204,"Not Run"))</f>
        <v/>
      </c>
      <c r="R43" s="29" t="str">
        <f aca="false">IF(A43="","",COUNTIFS(Defects!$C$5:$C$104,A43,Defects!$H$5:$H$104,"Open")+COUNTIFS(Defects!$C$5:$C$104,A43,Defects!$H$5:$H$104,"In Progress")+COUNTIFS(Defects!$C$5:$C$104,A43,Defects!$H$5:$H$104,"Fixed - Retest"))</f>
        <v/>
      </c>
      <c r="S43" s="30" t="str">
        <f aca="false">IF(A43="","",IF(L43&lt;&gt;"Approved","Not in scope yet",IF(M43=0,"No test coverage",IF(O43&gt;0,"Failing",IF(N43=M43,"Verified",IF(P43&gt;0,"Blocked",IF(N43&gt;0,"Partially verified","Not yet tested")))))))</f>
        <v/>
      </c>
      <c r="T43" s="13"/>
      <c r="U43" s="12"/>
      <c r="V43" s="29" t="str">
        <f aca="false">IF(OR(S43="No test coverage",S43="Failing",S43="Blocked"),ROW(),"")</f>
        <v/>
      </c>
    </row>
    <row r="44" customFormat="false" ht="19.5" hidden="false" customHeight="true" outlineLevel="0" collapsed="false">
      <c r="A44" s="13"/>
      <c r="B44" s="13"/>
      <c r="C44" s="12"/>
      <c r="D44" s="12"/>
      <c r="E44" s="13"/>
      <c r="F44" s="12"/>
      <c r="G44" s="13"/>
      <c r="H44" s="12"/>
      <c r="I44" s="12"/>
      <c r="J44" s="12"/>
      <c r="K44" s="13"/>
      <c r="L44" s="13"/>
      <c r="M44" s="29" t="str">
        <f aca="false">IF(A44="","",COUNTIFS('Test Cases'!$B$5:$B$204,A44))</f>
        <v/>
      </c>
      <c r="N44" s="29" t="str">
        <f aca="false">IF(A44="","",COUNTIFS('Test Cases'!$B$5:$B$204,A44,'Test Cases'!$L$5:$L$204,"Passed"))</f>
        <v/>
      </c>
      <c r="O44" s="29" t="str">
        <f aca="false">IF(A44="","",COUNTIFS('Test Cases'!$B$5:$B$204,A44,'Test Cases'!$L$5:$L$204,"Failed"))</f>
        <v/>
      </c>
      <c r="P44" s="29" t="str">
        <f aca="false">IF(A44="","",COUNTIFS('Test Cases'!$B$5:$B$204,A44,'Test Cases'!$L$5:$L$204,"Blocked"))</f>
        <v/>
      </c>
      <c r="Q44" s="29" t="str">
        <f aca="false">IF(A44="","",COUNTIFS('Test Cases'!$B$5:$B$204,A44,'Test Cases'!$L$5:$L$204,"Not Run"))</f>
        <v/>
      </c>
      <c r="R44" s="29" t="str">
        <f aca="false">IF(A44="","",COUNTIFS(Defects!$C$5:$C$104,A44,Defects!$H$5:$H$104,"Open")+COUNTIFS(Defects!$C$5:$C$104,A44,Defects!$H$5:$H$104,"In Progress")+COUNTIFS(Defects!$C$5:$C$104,A44,Defects!$H$5:$H$104,"Fixed - Retest"))</f>
        <v/>
      </c>
      <c r="S44" s="30" t="str">
        <f aca="false">IF(A44="","",IF(L44&lt;&gt;"Approved","Not in scope yet",IF(M44=0,"No test coverage",IF(O44&gt;0,"Failing",IF(N44=M44,"Verified",IF(P44&gt;0,"Blocked",IF(N44&gt;0,"Partially verified","Not yet tested")))))))</f>
        <v/>
      </c>
      <c r="T44" s="13"/>
      <c r="U44" s="12"/>
      <c r="V44" s="29" t="str">
        <f aca="false">IF(OR(S44="No test coverage",S44="Failing",S44="Blocked"),ROW(),"")</f>
        <v/>
      </c>
    </row>
    <row r="45" customFormat="false" ht="19.5" hidden="false" customHeight="true" outlineLevel="0" collapsed="false">
      <c r="A45" s="13"/>
      <c r="B45" s="13"/>
      <c r="C45" s="12"/>
      <c r="D45" s="12"/>
      <c r="E45" s="13"/>
      <c r="F45" s="12"/>
      <c r="G45" s="13"/>
      <c r="H45" s="12"/>
      <c r="I45" s="12"/>
      <c r="J45" s="12"/>
      <c r="K45" s="13"/>
      <c r="L45" s="13"/>
      <c r="M45" s="29" t="str">
        <f aca="false">IF(A45="","",COUNTIFS('Test Cases'!$B$5:$B$204,A45))</f>
        <v/>
      </c>
      <c r="N45" s="29" t="str">
        <f aca="false">IF(A45="","",COUNTIFS('Test Cases'!$B$5:$B$204,A45,'Test Cases'!$L$5:$L$204,"Passed"))</f>
        <v/>
      </c>
      <c r="O45" s="29" t="str">
        <f aca="false">IF(A45="","",COUNTIFS('Test Cases'!$B$5:$B$204,A45,'Test Cases'!$L$5:$L$204,"Failed"))</f>
        <v/>
      </c>
      <c r="P45" s="29" t="str">
        <f aca="false">IF(A45="","",COUNTIFS('Test Cases'!$B$5:$B$204,A45,'Test Cases'!$L$5:$L$204,"Blocked"))</f>
        <v/>
      </c>
      <c r="Q45" s="29" t="str">
        <f aca="false">IF(A45="","",COUNTIFS('Test Cases'!$B$5:$B$204,A45,'Test Cases'!$L$5:$L$204,"Not Run"))</f>
        <v/>
      </c>
      <c r="R45" s="29" t="str">
        <f aca="false">IF(A45="","",COUNTIFS(Defects!$C$5:$C$104,A45,Defects!$H$5:$H$104,"Open")+COUNTIFS(Defects!$C$5:$C$104,A45,Defects!$H$5:$H$104,"In Progress")+COUNTIFS(Defects!$C$5:$C$104,A45,Defects!$H$5:$H$104,"Fixed - Retest"))</f>
        <v/>
      </c>
      <c r="S45" s="30" t="str">
        <f aca="false">IF(A45="","",IF(L45&lt;&gt;"Approved","Not in scope yet",IF(M45=0,"No test coverage",IF(O45&gt;0,"Failing",IF(N45=M45,"Verified",IF(P45&gt;0,"Blocked",IF(N45&gt;0,"Partially verified","Not yet tested")))))))</f>
        <v/>
      </c>
      <c r="T45" s="13"/>
      <c r="U45" s="12"/>
      <c r="V45" s="29" t="str">
        <f aca="false">IF(OR(S45="No test coverage",S45="Failing",S45="Blocked"),ROW(),"")</f>
        <v/>
      </c>
    </row>
    <row r="46" customFormat="false" ht="19.5" hidden="false" customHeight="true" outlineLevel="0" collapsed="false">
      <c r="A46" s="13"/>
      <c r="B46" s="13"/>
      <c r="C46" s="12"/>
      <c r="D46" s="12"/>
      <c r="E46" s="13"/>
      <c r="F46" s="12"/>
      <c r="G46" s="13"/>
      <c r="H46" s="12"/>
      <c r="I46" s="12"/>
      <c r="J46" s="12"/>
      <c r="K46" s="13"/>
      <c r="L46" s="13"/>
      <c r="M46" s="29" t="str">
        <f aca="false">IF(A46="","",COUNTIFS('Test Cases'!$B$5:$B$204,A46))</f>
        <v/>
      </c>
      <c r="N46" s="29" t="str">
        <f aca="false">IF(A46="","",COUNTIFS('Test Cases'!$B$5:$B$204,A46,'Test Cases'!$L$5:$L$204,"Passed"))</f>
        <v/>
      </c>
      <c r="O46" s="29" t="str">
        <f aca="false">IF(A46="","",COUNTIFS('Test Cases'!$B$5:$B$204,A46,'Test Cases'!$L$5:$L$204,"Failed"))</f>
        <v/>
      </c>
      <c r="P46" s="29" t="str">
        <f aca="false">IF(A46="","",COUNTIFS('Test Cases'!$B$5:$B$204,A46,'Test Cases'!$L$5:$L$204,"Blocked"))</f>
        <v/>
      </c>
      <c r="Q46" s="29" t="str">
        <f aca="false">IF(A46="","",COUNTIFS('Test Cases'!$B$5:$B$204,A46,'Test Cases'!$L$5:$L$204,"Not Run"))</f>
        <v/>
      </c>
      <c r="R46" s="29" t="str">
        <f aca="false">IF(A46="","",COUNTIFS(Defects!$C$5:$C$104,A46,Defects!$H$5:$H$104,"Open")+COUNTIFS(Defects!$C$5:$C$104,A46,Defects!$H$5:$H$104,"In Progress")+COUNTIFS(Defects!$C$5:$C$104,A46,Defects!$H$5:$H$104,"Fixed - Retest"))</f>
        <v/>
      </c>
      <c r="S46" s="30" t="str">
        <f aca="false">IF(A46="","",IF(L46&lt;&gt;"Approved","Not in scope yet",IF(M46=0,"No test coverage",IF(O46&gt;0,"Failing",IF(N46=M46,"Verified",IF(P46&gt;0,"Blocked",IF(N46&gt;0,"Partially verified","Not yet tested")))))))</f>
        <v/>
      </c>
      <c r="T46" s="13"/>
      <c r="U46" s="12"/>
      <c r="V46" s="29" t="str">
        <f aca="false">IF(OR(S46="No test coverage",S46="Failing",S46="Blocked"),ROW(),"")</f>
        <v/>
      </c>
    </row>
    <row r="47" customFormat="false" ht="19.5" hidden="false" customHeight="true" outlineLevel="0" collapsed="false">
      <c r="A47" s="13"/>
      <c r="B47" s="13"/>
      <c r="C47" s="12"/>
      <c r="D47" s="12"/>
      <c r="E47" s="13"/>
      <c r="F47" s="12"/>
      <c r="G47" s="13"/>
      <c r="H47" s="12"/>
      <c r="I47" s="12"/>
      <c r="J47" s="12"/>
      <c r="K47" s="13"/>
      <c r="L47" s="13"/>
      <c r="M47" s="29" t="str">
        <f aca="false">IF(A47="","",COUNTIFS('Test Cases'!$B$5:$B$204,A47))</f>
        <v/>
      </c>
      <c r="N47" s="29" t="str">
        <f aca="false">IF(A47="","",COUNTIFS('Test Cases'!$B$5:$B$204,A47,'Test Cases'!$L$5:$L$204,"Passed"))</f>
        <v/>
      </c>
      <c r="O47" s="29" t="str">
        <f aca="false">IF(A47="","",COUNTIFS('Test Cases'!$B$5:$B$204,A47,'Test Cases'!$L$5:$L$204,"Failed"))</f>
        <v/>
      </c>
      <c r="P47" s="29" t="str">
        <f aca="false">IF(A47="","",COUNTIFS('Test Cases'!$B$5:$B$204,A47,'Test Cases'!$L$5:$L$204,"Blocked"))</f>
        <v/>
      </c>
      <c r="Q47" s="29" t="str">
        <f aca="false">IF(A47="","",COUNTIFS('Test Cases'!$B$5:$B$204,A47,'Test Cases'!$L$5:$L$204,"Not Run"))</f>
        <v/>
      </c>
      <c r="R47" s="29" t="str">
        <f aca="false">IF(A47="","",COUNTIFS(Defects!$C$5:$C$104,A47,Defects!$H$5:$H$104,"Open")+COUNTIFS(Defects!$C$5:$C$104,A47,Defects!$H$5:$H$104,"In Progress")+COUNTIFS(Defects!$C$5:$C$104,A47,Defects!$H$5:$H$104,"Fixed - Retest"))</f>
        <v/>
      </c>
      <c r="S47" s="30" t="str">
        <f aca="false">IF(A47="","",IF(L47&lt;&gt;"Approved","Not in scope yet",IF(M47=0,"No test coverage",IF(O47&gt;0,"Failing",IF(N47=M47,"Verified",IF(P47&gt;0,"Blocked",IF(N47&gt;0,"Partially verified","Not yet tested")))))))</f>
        <v/>
      </c>
      <c r="T47" s="13"/>
      <c r="U47" s="12"/>
      <c r="V47" s="29" t="str">
        <f aca="false">IF(OR(S47="No test coverage",S47="Failing",S47="Blocked"),ROW(),"")</f>
        <v/>
      </c>
    </row>
    <row r="48" customFormat="false" ht="19.5" hidden="false" customHeight="true" outlineLevel="0" collapsed="false">
      <c r="A48" s="13"/>
      <c r="B48" s="13"/>
      <c r="C48" s="12"/>
      <c r="D48" s="12"/>
      <c r="E48" s="13"/>
      <c r="F48" s="12"/>
      <c r="G48" s="13"/>
      <c r="H48" s="12"/>
      <c r="I48" s="12"/>
      <c r="J48" s="12"/>
      <c r="K48" s="13"/>
      <c r="L48" s="13"/>
      <c r="M48" s="29" t="str">
        <f aca="false">IF(A48="","",COUNTIFS('Test Cases'!$B$5:$B$204,A48))</f>
        <v/>
      </c>
      <c r="N48" s="29" t="str">
        <f aca="false">IF(A48="","",COUNTIFS('Test Cases'!$B$5:$B$204,A48,'Test Cases'!$L$5:$L$204,"Passed"))</f>
        <v/>
      </c>
      <c r="O48" s="29" t="str">
        <f aca="false">IF(A48="","",COUNTIFS('Test Cases'!$B$5:$B$204,A48,'Test Cases'!$L$5:$L$204,"Failed"))</f>
        <v/>
      </c>
      <c r="P48" s="29" t="str">
        <f aca="false">IF(A48="","",COUNTIFS('Test Cases'!$B$5:$B$204,A48,'Test Cases'!$L$5:$L$204,"Blocked"))</f>
        <v/>
      </c>
      <c r="Q48" s="29" t="str">
        <f aca="false">IF(A48="","",COUNTIFS('Test Cases'!$B$5:$B$204,A48,'Test Cases'!$L$5:$L$204,"Not Run"))</f>
        <v/>
      </c>
      <c r="R48" s="29" t="str">
        <f aca="false">IF(A48="","",COUNTIFS(Defects!$C$5:$C$104,A48,Defects!$H$5:$H$104,"Open")+COUNTIFS(Defects!$C$5:$C$104,A48,Defects!$H$5:$H$104,"In Progress")+COUNTIFS(Defects!$C$5:$C$104,A48,Defects!$H$5:$H$104,"Fixed - Retest"))</f>
        <v/>
      </c>
      <c r="S48" s="30" t="str">
        <f aca="false">IF(A48="","",IF(L48&lt;&gt;"Approved","Not in scope yet",IF(M48=0,"No test coverage",IF(O48&gt;0,"Failing",IF(N48=M48,"Verified",IF(P48&gt;0,"Blocked",IF(N48&gt;0,"Partially verified","Not yet tested")))))))</f>
        <v/>
      </c>
      <c r="T48" s="13"/>
      <c r="U48" s="12"/>
      <c r="V48" s="29" t="str">
        <f aca="false">IF(OR(S48="No test coverage",S48="Failing",S48="Blocked"),ROW(),"")</f>
        <v/>
      </c>
    </row>
    <row r="49" customFormat="false" ht="19.5" hidden="false" customHeight="true" outlineLevel="0" collapsed="false">
      <c r="A49" s="13"/>
      <c r="B49" s="13"/>
      <c r="C49" s="12"/>
      <c r="D49" s="12"/>
      <c r="E49" s="13"/>
      <c r="F49" s="12"/>
      <c r="G49" s="13"/>
      <c r="H49" s="12"/>
      <c r="I49" s="12"/>
      <c r="J49" s="12"/>
      <c r="K49" s="13"/>
      <c r="L49" s="13"/>
      <c r="M49" s="29" t="str">
        <f aca="false">IF(A49="","",COUNTIFS('Test Cases'!$B$5:$B$204,A49))</f>
        <v/>
      </c>
      <c r="N49" s="29" t="str">
        <f aca="false">IF(A49="","",COUNTIFS('Test Cases'!$B$5:$B$204,A49,'Test Cases'!$L$5:$L$204,"Passed"))</f>
        <v/>
      </c>
      <c r="O49" s="29" t="str">
        <f aca="false">IF(A49="","",COUNTIFS('Test Cases'!$B$5:$B$204,A49,'Test Cases'!$L$5:$L$204,"Failed"))</f>
        <v/>
      </c>
      <c r="P49" s="29" t="str">
        <f aca="false">IF(A49="","",COUNTIFS('Test Cases'!$B$5:$B$204,A49,'Test Cases'!$L$5:$L$204,"Blocked"))</f>
        <v/>
      </c>
      <c r="Q49" s="29" t="str">
        <f aca="false">IF(A49="","",COUNTIFS('Test Cases'!$B$5:$B$204,A49,'Test Cases'!$L$5:$L$204,"Not Run"))</f>
        <v/>
      </c>
      <c r="R49" s="29" t="str">
        <f aca="false">IF(A49="","",COUNTIFS(Defects!$C$5:$C$104,A49,Defects!$H$5:$H$104,"Open")+COUNTIFS(Defects!$C$5:$C$104,A49,Defects!$H$5:$H$104,"In Progress")+COUNTIFS(Defects!$C$5:$C$104,A49,Defects!$H$5:$H$104,"Fixed - Retest"))</f>
        <v/>
      </c>
      <c r="S49" s="30" t="str">
        <f aca="false">IF(A49="","",IF(L49&lt;&gt;"Approved","Not in scope yet",IF(M49=0,"No test coverage",IF(O49&gt;0,"Failing",IF(N49=M49,"Verified",IF(P49&gt;0,"Blocked",IF(N49&gt;0,"Partially verified","Not yet tested")))))))</f>
        <v/>
      </c>
      <c r="T49" s="13"/>
      <c r="U49" s="12"/>
      <c r="V49" s="29" t="str">
        <f aca="false">IF(OR(S49="No test coverage",S49="Failing",S49="Blocked"),ROW(),"")</f>
        <v/>
      </c>
    </row>
    <row r="50" customFormat="false" ht="19.5" hidden="false" customHeight="true" outlineLevel="0" collapsed="false">
      <c r="A50" s="13"/>
      <c r="B50" s="13"/>
      <c r="C50" s="12"/>
      <c r="D50" s="12"/>
      <c r="E50" s="13"/>
      <c r="F50" s="12"/>
      <c r="G50" s="13"/>
      <c r="H50" s="12"/>
      <c r="I50" s="12"/>
      <c r="J50" s="12"/>
      <c r="K50" s="13"/>
      <c r="L50" s="13"/>
      <c r="M50" s="29" t="str">
        <f aca="false">IF(A50="","",COUNTIFS('Test Cases'!$B$5:$B$204,A50))</f>
        <v/>
      </c>
      <c r="N50" s="29" t="str">
        <f aca="false">IF(A50="","",COUNTIFS('Test Cases'!$B$5:$B$204,A50,'Test Cases'!$L$5:$L$204,"Passed"))</f>
        <v/>
      </c>
      <c r="O50" s="29" t="str">
        <f aca="false">IF(A50="","",COUNTIFS('Test Cases'!$B$5:$B$204,A50,'Test Cases'!$L$5:$L$204,"Failed"))</f>
        <v/>
      </c>
      <c r="P50" s="29" t="str">
        <f aca="false">IF(A50="","",COUNTIFS('Test Cases'!$B$5:$B$204,A50,'Test Cases'!$L$5:$L$204,"Blocked"))</f>
        <v/>
      </c>
      <c r="Q50" s="29" t="str">
        <f aca="false">IF(A50="","",COUNTIFS('Test Cases'!$B$5:$B$204,A50,'Test Cases'!$L$5:$L$204,"Not Run"))</f>
        <v/>
      </c>
      <c r="R50" s="29" t="str">
        <f aca="false">IF(A50="","",COUNTIFS(Defects!$C$5:$C$104,A50,Defects!$H$5:$H$104,"Open")+COUNTIFS(Defects!$C$5:$C$104,A50,Defects!$H$5:$H$104,"In Progress")+COUNTIFS(Defects!$C$5:$C$104,A50,Defects!$H$5:$H$104,"Fixed - Retest"))</f>
        <v/>
      </c>
      <c r="S50" s="30" t="str">
        <f aca="false">IF(A50="","",IF(L50&lt;&gt;"Approved","Not in scope yet",IF(M50=0,"No test coverage",IF(O50&gt;0,"Failing",IF(N50=M50,"Verified",IF(P50&gt;0,"Blocked",IF(N50&gt;0,"Partially verified","Not yet tested")))))))</f>
        <v/>
      </c>
      <c r="T50" s="13"/>
      <c r="U50" s="12"/>
      <c r="V50" s="29" t="str">
        <f aca="false">IF(OR(S50="No test coverage",S50="Failing",S50="Blocked"),ROW(),"")</f>
        <v/>
      </c>
    </row>
    <row r="51" customFormat="false" ht="19.5" hidden="false" customHeight="true" outlineLevel="0" collapsed="false">
      <c r="A51" s="13"/>
      <c r="B51" s="13"/>
      <c r="C51" s="12"/>
      <c r="D51" s="12"/>
      <c r="E51" s="13"/>
      <c r="F51" s="12"/>
      <c r="G51" s="13"/>
      <c r="H51" s="12"/>
      <c r="I51" s="12"/>
      <c r="J51" s="12"/>
      <c r="K51" s="13"/>
      <c r="L51" s="13"/>
      <c r="M51" s="29" t="str">
        <f aca="false">IF(A51="","",COUNTIFS('Test Cases'!$B$5:$B$204,A51))</f>
        <v/>
      </c>
      <c r="N51" s="29" t="str">
        <f aca="false">IF(A51="","",COUNTIFS('Test Cases'!$B$5:$B$204,A51,'Test Cases'!$L$5:$L$204,"Passed"))</f>
        <v/>
      </c>
      <c r="O51" s="29" t="str">
        <f aca="false">IF(A51="","",COUNTIFS('Test Cases'!$B$5:$B$204,A51,'Test Cases'!$L$5:$L$204,"Failed"))</f>
        <v/>
      </c>
      <c r="P51" s="29" t="str">
        <f aca="false">IF(A51="","",COUNTIFS('Test Cases'!$B$5:$B$204,A51,'Test Cases'!$L$5:$L$204,"Blocked"))</f>
        <v/>
      </c>
      <c r="Q51" s="29" t="str">
        <f aca="false">IF(A51="","",COUNTIFS('Test Cases'!$B$5:$B$204,A51,'Test Cases'!$L$5:$L$204,"Not Run"))</f>
        <v/>
      </c>
      <c r="R51" s="29" t="str">
        <f aca="false">IF(A51="","",COUNTIFS(Defects!$C$5:$C$104,A51,Defects!$H$5:$H$104,"Open")+COUNTIFS(Defects!$C$5:$C$104,A51,Defects!$H$5:$H$104,"In Progress")+COUNTIFS(Defects!$C$5:$C$104,A51,Defects!$H$5:$H$104,"Fixed - Retest"))</f>
        <v/>
      </c>
      <c r="S51" s="30" t="str">
        <f aca="false">IF(A51="","",IF(L51&lt;&gt;"Approved","Not in scope yet",IF(M51=0,"No test coverage",IF(O51&gt;0,"Failing",IF(N51=M51,"Verified",IF(P51&gt;0,"Blocked",IF(N51&gt;0,"Partially verified","Not yet tested")))))))</f>
        <v/>
      </c>
      <c r="T51" s="13"/>
      <c r="U51" s="12"/>
      <c r="V51" s="29" t="str">
        <f aca="false">IF(OR(S51="No test coverage",S51="Failing",S51="Blocked"),ROW(),"")</f>
        <v/>
      </c>
    </row>
    <row r="52" customFormat="false" ht="19.5" hidden="false" customHeight="true" outlineLevel="0" collapsed="false">
      <c r="A52" s="13"/>
      <c r="B52" s="13"/>
      <c r="C52" s="12"/>
      <c r="D52" s="12"/>
      <c r="E52" s="13"/>
      <c r="F52" s="12"/>
      <c r="G52" s="13"/>
      <c r="H52" s="12"/>
      <c r="I52" s="12"/>
      <c r="J52" s="12"/>
      <c r="K52" s="13"/>
      <c r="L52" s="13"/>
      <c r="M52" s="29" t="str">
        <f aca="false">IF(A52="","",COUNTIFS('Test Cases'!$B$5:$B$204,A52))</f>
        <v/>
      </c>
      <c r="N52" s="29" t="str">
        <f aca="false">IF(A52="","",COUNTIFS('Test Cases'!$B$5:$B$204,A52,'Test Cases'!$L$5:$L$204,"Passed"))</f>
        <v/>
      </c>
      <c r="O52" s="29" t="str">
        <f aca="false">IF(A52="","",COUNTIFS('Test Cases'!$B$5:$B$204,A52,'Test Cases'!$L$5:$L$204,"Failed"))</f>
        <v/>
      </c>
      <c r="P52" s="29" t="str">
        <f aca="false">IF(A52="","",COUNTIFS('Test Cases'!$B$5:$B$204,A52,'Test Cases'!$L$5:$L$204,"Blocked"))</f>
        <v/>
      </c>
      <c r="Q52" s="29" t="str">
        <f aca="false">IF(A52="","",COUNTIFS('Test Cases'!$B$5:$B$204,A52,'Test Cases'!$L$5:$L$204,"Not Run"))</f>
        <v/>
      </c>
      <c r="R52" s="29" t="str">
        <f aca="false">IF(A52="","",COUNTIFS(Defects!$C$5:$C$104,A52,Defects!$H$5:$H$104,"Open")+COUNTIFS(Defects!$C$5:$C$104,A52,Defects!$H$5:$H$104,"In Progress")+COUNTIFS(Defects!$C$5:$C$104,A52,Defects!$H$5:$H$104,"Fixed - Retest"))</f>
        <v/>
      </c>
      <c r="S52" s="30" t="str">
        <f aca="false">IF(A52="","",IF(L52&lt;&gt;"Approved","Not in scope yet",IF(M52=0,"No test coverage",IF(O52&gt;0,"Failing",IF(N52=M52,"Verified",IF(P52&gt;0,"Blocked",IF(N52&gt;0,"Partially verified","Not yet tested")))))))</f>
        <v/>
      </c>
      <c r="T52" s="13"/>
      <c r="U52" s="12"/>
      <c r="V52" s="29" t="str">
        <f aca="false">IF(OR(S52="No test coverage",S52="Failing",S52="Blocked"),ROW(),"")</f>
        <v/>
      </c>
    </row>
    <row r="53" customFormat="false" ht="19.5" hidden="false" customHeight="true" outlineLevel="0" collapsed="false">
      <c r="A53" s="13"/>
      <c r="B53" s="13"/>
      <c r="C53" s="12"/>
      <c r="D53" s="12"/>
      <c r="E53" s="13"/>
      <c r="F53" s="12"/>
      <c r="G53" s="13"/>
      <c r="H53" s="12"/>
      <c r="I53" s="12"/>
      <c r="J53" s="12"/>
      <c r="K53" s="13"/>
      <c r="L53" s="13"/>
      <c r="M53" s="29" t="str">
        <f aca="false">IF(A53="","",COUNTIFS('Test Cases'!$B$5:$B$204,A53))</f>
        <v/>
      </c>
      <c r="N53" s="29" t="str">
        <f aca="false">IF(A53="","",COUNTIFS('Test Cases'!$B$5:$B$204,A53,'Test Cases'!$L$5:$L$204,"Passed"))</f>
        <v/>
      </c>
      <c r="O53" s="29" t="str">
        <f aca="false">IF(A53="","",COUNTIFS('Test Cases'!$B$5:$B$204,A53,'Test Cases'!$L$5:$L$204,"Failed"))</f>
        <v/>
      </c>
      <c r="P53" s="29" t="str">
        <f aca="false">IF(A53="","",COUNTIFS('Test Cases'!$B$5:$B$204,A53,'Test Cases'!$L$5:$L$204,"Blocked"))</f>
        <v/>
      </c>
      <c r="Q53" s="29" t="str">
        <f aca="false">IF(A53="","",COUNTIFS('Test Cases'!$B$5:$B$204,A53,'Test Cases'!$L$5:$L$204,"Not Run"))</f>
        <v/>
      </c>
      <c r="R53" s="29" t="str">
        <f aca="false">IF(A53="","",COUNTIFS(Defects!$C$5:$C$104,A53,Defects!$H$5:$H$104,"Open")+COUNTIFS(Defects!$C$5:$C$104,A53,Defects!$H$5:$H$104,"In Progress")+COUNTIFS(Defects!$C$5:$C$104,A53,Defects!$H$5:$H$104,"Fixed - Retest"))</f>
        <v/>
      </c>
      <c r="S53" s="30" t="str">
        <f aca="false">IF(A53="","",IF(L53&lt;&gt;"Approved","Not in scope yet",IF(M53=0,"No test coverage",IF(O53&gt;0,"Failing",IF(N53=M53,"Verified",IF(P53&gt;0,"Blocked",IF(N53&gt;0,"Partially verified","Not yet tested")))))))</f>
        <v/>
      </c>
      <c r="T53" s="13"/>
      <c r="U53" s="12"/>
      <c r="V53" s="29" t="str">
        <f aca="false">IF(OR(S53="No test coverage",S53="Failing",S53="Blocked"),ROW(),"")</f>
        <v/>
      </c>
    </row>
    <row r="54" customFormat="false" ht="19.5" hidden="false" customHeight="true" outlineLevel="0" collapsed="false">
      <c r="A54" s="13"/>
      <c r="B54" s="13"/>
      <c r="C54" s="12"/>
      <c r="D54" s="12"/>
      <c r="E54" s="13"/>
      <c r="F54" s="12"/>
      <c r="G54" s="13"/>
      <c r="H54" s="12"/>
      <c r="I54" s="12"/>
      <c r="J54" s="12"/>
      <c r="K54" s="13"/>
      <c r="L54" s="13"/>
      <c r="M54" s="29" t="str">
        <f aca="false">IF(A54="","",COUNTIFS('Test Cases'!$B$5:$B$204,A54))</f>
        <v/>
      </c>
      <c r="N54" s="29" t="str">
        <f aca="false">IF(A54="","",COUNTIFS('Test Cases'!$B$5:$B$204,A54,'Test Cases'!$L$5:$L$204,"Passed"))</f>
        <v/>
      </c>
      <c r="O54" s="29" t="str">
        <f aca="false">IF(A54="","",COUNTIFS('Test Cases'!$B$5:$B$204,A54,'Test Cases'!$L$5:$L$204,"Failed"))</f>
        <v/>
      </c>
      <c r="P54" s="29" t="str">
        <f aca="false">IF(A54="","",COUNTIFS('Test Cases'!$B$5:$B$204,A54,'Test Cases'!$L$5:$L$204,"Blocked"))</f>
        <v/>
      </c>
      <c r="Q54" s="29" t="str">
        <f aca="false">IF(A54="","",COUNTIFS('Test Cases'!$B$5:$B$204,A54,'Test Cases'!$L$5:$L$204,"Not Run"))</f>
        <v/>
      </c>
      <c r="R54" s="29" t="str">
        <f aca="false">IF(A54="","",COUNTIFS(Defects!$C$5:$C$104,A54,Defects!$H$5:$H$104,"Open")+COUNTIFS(Defects!$C$5:$C$104,A54,Defects!$H$5:$H$104,"In Progress")+COUNTIFS(Defects!$C$5:$C$104,A54,Defects!$H$5:$H$104,"Fixed - Retest"))</f>
        <v/>
      </c>
      <c r="S54" s="30" t="str">
        <f aca="false">IF(A54="","",IF(L54&lt;&gt;"Approved","Not in scope yet",IF(M54=0,"No test coverage",IF(O54&gt;0,"Failing",IF(N54=M54,"Verified",IF(P54&gt;0,"Blocked",IF(N54&gt;0,"Partially verified","Not yet tested")))))))</f>
        <v/>
      </c>
      <c r="T54" s="13"/>
      <c r="U54" s="12"/>
      <c r="V54" s="29" t="str">
        <f aca="false">IF(OR(S54="No test coverage",S54="Failing",S54="Blocked"),ROW(),"")</f>
        <v/>
      </c>
    </row>
    <row r="55" customFormat="false" ht="19.5" hidden="false" customHeight="true" outlineLevel="0" collapsed="false">
      <c r="A55" s="13"/>
      <c r="B55" s="13"/>
      <c r="C55" s="12"/>
      <c r="D55" s="12"/>
      <c r="E55" s="13"/>
      <c r="F55" s="12"/>
      <c r="G55" s="13"/>
      <c r="H55" s="12"/>
      <c r="I55" s="12"/>
      <c r="J55" s="12"/>
      <c r="K55" s="13"/>
      <c r="L55" s="13"/>
      <c r="M55" s="29" t="str">
        <f aca="false">IF(A55="","",COUNTIFS('Test Cases'!$B$5:$B$204,A55))</f>
        <v/>
      </c>
      <c r="N55" s="29" t="str">
        <f aca="false">IF(A55="","",COUNTIFS('Test Cases'!$B$5:$B$204,A55,'Test Cases'!$L$5:$L$204,"Passed"))</f>
        <v/>
      </c>
      <c r="O55" s="29" t="str">
        <f aca="false">IF(A55="","",COUNTIFS('Test Cases'!$B$5:$B$204,A55,'Test Cases'!$L$5:$L$204,"Failed"))</f>
        <v/>
      </c>
      <c r="P55" s="29" t="str">
        <f aca="false">IF(A55="","",COUNTIFS('Test Cases'!$B$5:$B$204,A55,'Test Cases'!$L$5:$L$204,"Blocked"))</f>
        <v/>
      </c>
      <c r="Q55" s="29" t="str">
        <f aca="false">IF(A55="","",COUNTIFS('Test Cases'!$B$5:$B$204,A55,'Test Cases'!$L$5:$L$204,"Not Run"))</f>
        <v/>
      </c>
      <c r="R55" s="29" t="str">
        <f aca="false">IF(A55="","",COUNTIFS(Defects!$C$5:$C$104,A55,Defects!$H$5:$H$104,"Open")+COUNTIFS(Defects!$C$5:$C$104,A55,Defects!$H$5:$H$104,"In Progress")+COUNTIFS(Defects!$C$5:$C$104,A55,Defects!$H$5:$H$104,"Fixed - Retest"))</f>
        <v/>
      </c>
      <c r="S55" s="30" t="str">
        <f aca="false">IF(A55="","",IF(L55&lt;&gt;"Approved","Not in scope yet",IF(M55=0,"No test coverage",IF(O55&gt;0,"Failing",IF(N55=M55,"Verified",IF(P55&gt;0,"Blocked",IF(N55&gt;0,"Partially verified","Not yet tested")))))))</f>
        <v/>
      </c>
      <c r="T55" s="13"/>
      <c r="U55" s="12"/>
      <c r="V55" s="29" t="str">
        <f aca="false">IF(OR(S55="No test coverage",S55="Failing",S55="Blocked"),ROW(),"")</f>
        <v/>
      </c>
    </row>
    <row r="56" customFormat="false" ht="19.5" hidden="false" customHeight="true" outlineLevel="0" collapsed="false">
      <c r="A56" s="13"/>
      <c r="B56" s="13"/>
      <c r="C56" s="12"/>
      <c r="D56" s="12"/>
      <c r="E56" s="13"/>
      <c r="F56" s="12"/>
      <c r="G56" s="13"/>
      <c r="H56" s="12"/>
      <c r="I56" s="12"/>
      <c r="J56" s="12"/>
      <c r="K56" s="13"/>
      <c r="L56" s="13"/>
      <c r="M56" s="29" t="str">
        <f aca="false">IF(A56="","",COUNTIFS('Test Cases'!$B$5:$B$204,A56))</f>
        <v/>
      </c>
      <c r="N56" s="29" t="str">
        <f aca="false">IF(A56="","",COUNTIFS('Test Cases'!$B$5:$B$204,A56,'Test Cases'!$L$5:$L$204,"Passed"))</f>
        <v/>
      </c>
      <c r="O56" s="29" t="str">
        <f aca="false">IF(A56="","",COUNTIFS('Test Cases'!$B$5:$B$204,A56,'Test Cases'!$L$5:$L$204,"Failed"))</f>
        <v/>
      </c>
      <c r="P56" s="29" t="str">
        <f aca="false">IF(A56="","",COUNTIFS('Test Cases'!$B$5:$B$204,A56,'Test Cases'!$L$5:$L$204,"Blocked"))</f>
        <v/>
      </c>
      <c r="Q56" s="29" t="str">
        <f aca="false">IF(A56="","",COUNTIFS('Test Cases'!$B$5:$B$204,A56,'Test Cases'!$L$5:$L$204,"Not Run"))</f>
        <v/>
      </c>
      <c r="R56" s="29" t="str">
        <f aca="false">IF(A56="","",COUNTIFS(Defects!$C$5:$C$104,A56,Defects!$H$5:$H$104,"Open")+COUNTIFS(Defects!$C$5:$C$104,A56,Defects!$H$5:$H$104,"In Progress")+COUNTIFS(Defects!$C$5:$C$104,A56,Defects!$H$5:$H$104,"Fixed - Retest"))</f>
        <v/>
      </c>
      <c r="S56" s="30" t="str">
        <f aca="false">IF(A56="","",IF(L56&lt;&gt;"Approved","Not in scope yet",IF(M56=0,"No test coverage",IF(O56&gt;0,"Failing",IF(N56=M56,"Verified",IF(P56&gt;0,"Blocked",IF(N56&gt;0,"Partially verified","Not yet tested")))))))</f>
        <v/>
      </c>
      <c r="T56" s="13"/>
      <c r="U56" s="12"/>
      <c r="V56" s="29" t="str">
        <f aca="false">IF(OR(S56="No test coverage",S56="Failing",S56="Blocked"),ROW(),"")</f>
        <v/>
      </c>
    </row>
    <row r="57" customFormat="false" ht="19.5" hidden="false" customHeight="true" outlineLevel="0" collapsed="false">
      <c r="A57" s="13"/>
      <c r="B57" s="13"/>
      <c r="C57" s="12"/>
      <c r="D57" s="12"/>
      <c r="E57" s="13"/>
      <c r="F57" s="12"/>
      <c r="G57" s="13"/>
      <c r="H57" s="12"/>
      <c r="I57" s="12"/>
      <c r="J57" s="12"/>
      <c r="K57" s="13"/>
      <c r="L57" s="13"/>
      <c r="M57" s="29" t="str">
        <f aca="false">IF(A57="","",COUNTIFS('Test Cases'!$B$5:$B$204,A57))</f>
        <v/>
      </c>
      <c r="N57" s="29" t="str">
        <f aca="false">IF(A57="","",COUNTIFS('Test Cases'!$B$5:$B$204,A57,'Test Cases'!$L$5:$L$204,"Passed"))</f>
        <v/>
      </c>
      <c r="O57" s="29" t="str">
        <f aca="false">IF(A57="","",COUNTIFS('Test Cases'!$B$5:$B$204,A57,'Test Cases'!$L$5:$L$204,"Failed"))</f>
        <v/>
      </c>
      <c r="P57" s="29" t="str">
        <f aca="false">IF(A57="","",COUNTIFS('Test Cases'!$B$5:$B$204,A57,'Test Cases'!$L$5:$L$204,"Blocked"))</f>
        <v/>
      </c>
      <c r="Q57" s="29" t="str">
        <f aca="false">IF(A57="","",COUNTIFS('Test Cases'!$B$5:$B$204,A57,'Test Cases'!$L$5:$L$204,"Not Run"))</f>
        <v/>
      </c>
      <c r="R57" s="29" t="str">
        <f aca="false">IF(A57="","",COUNTIFS(Defects!$C$5:$C$104,A57,Defects!$H$5:$H$104,"Open")+COUNTIFS(Defects!$C$5:$C$104,A57,Defects!$H$5:$H$104,"In Progress")+COUNTIFS(Defects!$C$5:$C$104,A57,Defects!$H$5:$H$104,"Fixed - Retest"))</f>
        <v/>
      </c>
      <c r="S57" s="30" t="str">
        <f aca="false">IF(A57="","",IF(L57&lt;&gt;"Approved","Not in scope yet",IF(M57=0,"No test coverage",IF(O57&gt;0,"Failing",IF(N57=M57,"Verified",IF(P57&gt;0,"Blocked",IF(N57&gt;0,"Partially verified","Not yet tested")))))))</f>
        <v/>
      </c>
      <c r="T57" s="13"/>
      <c r="U57" s="12"/>
      <c r="V57" s="29" t="str">
        <f aca="false">IF(OR(S57="No test coverage",S57="Failing",S57="Blocked"),ROW(),"")</f>
        <v/>
      </c>
    </row>
    <row r="58" customFormat="false" ht="19.5" hidden="false" customHeight="true" outlineLevel="0" collapsed="false">
      <c r="A58" s="13"/>
      <c r="B58" s="13"/>
      <c r="C58" s="12"/>
      <c r="D58" s="12"/>
      <c r="E58" s="13"/>
      <c r="F58" s="12"/>
      <c r="G58" s="13"/>
      <c r="H58" s="12"/>
      <c r="I58" s="12"/>
      <c r="J58" s="12"/>
      <c r="K58" s="13"/>
      <c r="L58" s="13"/>
      <c r="M58" s="29" t="str">
        <f aca="false">IF(A58="","",COUNTIFS('Test Cases'!$B$5:$B$204,A58))</f>
        <v/>
      </c>
      <c r="N58" s="29" t="str">
        <f aca="false">IF(A58="","",COUNTIFS('Test Cases'!$B$5:$B$204,A58,'Test Cases'!$L$5:$L$204,"Passed"))</f>
        <v/>
      </c>
      <c r="O58" s="29" t="str">
        <f aca="false">IF(A58="","",COUNTIFS('Test Cases'!$B$5:$B$204,A58,'Test Cases'!$L$5:$L$204,"Failed"))</f>
        <v/>
      </c>
      <c r="P58" s="29" t="str">
        <f aca="false">IF(A58="","",COUNTIFS('Test Cases'!$B$5:$B$204,A58,'Test Cases'!$L$5:$L$204,"Blocked"))</f>
        <v/>
      </c>
      <c r="Q58" s="29" t="str">
        <f aca="false">IF(A58="","",COUNTIFS('Test Cases'!$B$5:$B$204,A58,'Test Cases'!$L$5:$L$204,"Not Run"))</f>
        <v/>
      </c>
      <c r="R58" s="29" t="str">
        <f aca="false">IF(A58="","",COUNTIFS(Defects!$C$5:$C$104,A58,Defects!$H$5:$H$104,"Open")+COUNTIFS(Defects!$C$5:$C$104,A58,Defects!$H$5:$H$104,"In Progress")+COUNTIFS(Defects!$C$5:$C$104,A58,Defects!$H$5:$H$104,"Fixed - Retest"))</f>
        <v/>
      </c>
      <c r="S58" s="30" t="str">
        <f aca="false">IF(A58="","",IF(L58&lt;&gt;"Approved","Not in scope yet",IF(M58=0,"No test coverage",IF(O58&gt;0,"Failing",IF(N58=M58,"Verified",IF(P58&gt;0,"Blocked",IF(N58&gt;0,"Partially verified","Not yet tested")))))))</f>
        <v/>
      </c>
      <c r="T58" s="13"/>
      <c r="U58" s="12"/>
      <c r="V58" s="29" t="str">
        <f aca="false">IF(OR(S58="No test coverage",S58="Failing",S58="Blocked"),ROW(),"")</f>
        <v/>
      </c>
    </row>
    <row r="59" customFormat="false" ht="19.5" hidden="false" customHeight="true" outlineLevel="0" collapsed="false">
      <c r="A59" s="13"/>
      <c r="B59" s="13"/>
      <c r="C59" s="12"/>
      <c r="D59" s="12"/>
      <c r="E59" s="13"/>
      <c r="F59" s="12"/>
      <c r="G59" s="13"/>
      <c r="H59" s="12"/>
      <c r="I59" s="12"/>
      <c r="J59" s="12"/>
      <c r="K59" s="13"/>
      <c r="L59" s="13"/>
      <c r="M59" s="29" t="str">
        <f aca="false">IF(A59="","",COUNTIFS('Test Cases'!$B$5:$B$204,A59))</f>
        <v/>
      </c>
      <c r="N59" s="29" t="str">
        <f aca="false">IF(A59="","",COUNTIFS('Test Cases'!$B$5:$B$204,A59,'Test Cases'!$L$5:$L$204,"Passed"))</f>
        <v/>
      </c>
      <c r="O59" s="29" t="str">
        <f aca="false">IF(A59="","",COUNTIFS('Test Cases'!$B$5:$B$204,A59,'Test Cases'!$L$5:$L$204,"Failed"))</f>
        <v/>
      </c>
      <c r="P59" s="29" t="str">
        <f aca="false">IF(A59="","",COUNTIFS('Test Cases'!$B$5:$B$204,A59,'Test Cases'!$L$5:$L$204,"Blocked"))</f>
        <v/>
      </c>
      <c r="Q59" s="29" t="str">
        <f aca="false">IF(A59="","",COUNTIFS('Test Cases'!$B$5:$B$204,A59,'Test Cases'!$L$5:$L$204,"Not Run"))</f>
        <v/>
      </c>
      <c r="R59" s="29" t="str">
        <f aca="false">IF(A59="","",COUNTIFS(Defects!$C$5:$C$104,A59,Defects!$H$5:$H$104,"Open")+COUNTIFS(Defects!$C$5:$C$104,A59,Defects!$H$5:$H$104,"In Progress")+COUNTIFS(Defects!$C$5:$C$104,A59,Defects!$H$5:$H$104,"Fixed - Retest"))</f>
        <v/>
      </c>
      <c r="S59" s="30" t="str">
        <f aca="false">IF(A59="","",IF(L59&lt;&gt;"Approved","Not in scope yet",IF(M59=0,"No test coverage",IF(O59&gt;0,"Failing",IF(N59=M59,"Verified",IF(P59&gt;0,"Blocked",IF(N59&gt;0,"Partially verified","Not yet tested")))))))</f>
        <v/>
      </c>
      <c r="T59" s="13"/>
      <c r="U59" s="12"/>
      <c r="V59" s="29" t="str">
        <f aca="false">IF(OR(S59="No test coverage",S59="Failing",S59="Blocked"),ROW(),"")</f>
        <v/>
      </c>
    </row>
    <row r="60" customFormat="false" ht="19.5" hidden="false" customHeight="true" outlineLevel="0" collapsed="false">
      <c r="A60" s="13"/>
      <c r="B60" s="13"/>
      <c r="C60" s="12"/>
      <c r="D60" s="12"/>
      <c r="E60" s="13"/>
      <c r="F60" s="12"/>
      <c r="G60" s="13"/>
      <c r="H60" s="12"/>
      <c r="I60" s="12"/>
      <c r="J60" s="12"/>
      <c r="K60" s="13"/>
      <c r="L60" s="13"/>
      <c r="M60" s="29" t="str">
        <f aca="false">IF(A60="","",COUNTIFS('Test Cases'!$B$5:$B$204,A60))</f>
        <v/>
      </c>
      <c r="N60" s="29" t="str">
        <f aca="false">IF(A60="","",COUNTIFS('Test Cases'!$B$5:$B$204,A60,'Test Cases'!$L$5:$L$204,"Passed"))</f>
        <v/>
      </c>
      <c r="O60" s="29" t="str">
        <f aca="false">IF(A60="","",COUNTIFS('Test Cases'!$B$5:$B$204,A60,'Test Cases'!$L$5:$L$204,"Failed"))</f>
        <v/>
      </c>
      <c r="P60" s="29" t="str">
        <f aca="false">IF(A60="","",COUNTIFS('Test Cases'!$B$5:$B$204,A60,'Test Cases'!$L$5:$L$204,"Blocked"))</f>
        <v/>
      </c>
      <c r="Q60" s="29" t="str">
        <f aca="false">IF(A60="","",COUNTIFS('Test Cases'!$B$5:$B$204,A60,'Test Cases'!$L$5:$L$204,"Not Run"))</f>
        <v/>
      </c>
      <c r="R60" s="29" t="str">
        <f aca="false">IF(A60="","",COUNTIFS(Defects!$C$5:$C$104,A60,Defects!$H$5:$H$104,"Open")+COUNTIFS(Defects!$C$5:$C$104,A60,Defects!$H$5:$H$104,"In Progress")+COUNTIFS(Defects!$C$5:$C$104,A60,Defects!$H$5:$H$104,"Fixed - Retest"))</f>
        <v/>
      </c>
      <c r="S60" s="30" t="str">
        <f aca="false">IF(A60="","",IF(L60&lt;&gt;"Approved","Not in scope yet",IF(M60=0,"No test coverage",IF(O60&gt;0,"Failing",IF(N60=M60,"Verified",IF(P60&gt;0,"Blocked",IF(N60&gt;0,"Partially verified","Not yet tested")))))))</f>
        <v/>
      </c>
      <c r="T60" s="13"/>
      <c r="U60" s="12"/>
      <c r="V60" s="29" t="str">
        <f aca="false">IF(OR(S60="No test coverage",S60="Failing",S60="Blocked"),ROW(),"")</f>
        <v/>
      </c>
    </row>
    <row r="61" customFormat="false" ht="19.5" hidden="false" customHeight="true" outlineLevel="0" collapsed="false">
      <c r="A61" s="13"/>
      <c r="B61" s="13"/>
      <c r="C61" s="12"/>
      <c r="D61" s="12"/>
      <c r="E61" s="13"/>
      <c r="F61" s="12"/>
      <c r="G61" s="13"/>
      <c r="H61" s="12"/>
      <c r="I61" s="12"/>
      <c r="J61" s="12"/>
      <c r="K61" s="13"/>
      <c r="L61" s="13"/>
      <c r="M61" s="29" t="str">
        <f aca="false">IF(A61="","",COUNTIFS('Test Cases'!$B$5:$B$204,A61))</f>
        <v/>
      </c>
      <c r="N61" s="29" t="str">
        <f aca="false">IF(A61="","",COUNTIFS('Test Cases'!$B$5:$B$204,A61,'Test Cases'!$L$5:$L$204,"Passed"))</f>
        <v/>
      </c>
      <c r="O61" s="29" t="str">
        <f aca="false">IF(A61="","",COUNTIFS('Test Cases'!$B$5:$B$204,A61,'Test Cases'!$L$5:$L$204,"Failed"))</f>
        <v/>
      </c>
      <c r="P61" s="29" t="str">
        <f aca="false">IF(A61="","",COUNTIFS('Test Cases'!$B$5:$B$204,A61,'Test Cases'!$L$5:$L$204,"Blocked"))</f>
        <v/>
      </c>
      <c r="Q61" s="29" t="str">
        <f aca="false">IF(A61="","",COUNTIFS('Test Cases'!$B$5:$B$204,A61,'Test Cases'!$L$5:$L$204,"Not Run"))</f>
        <v/>
      </c>
      <c r="R61" s="29" t="str">
        <f aca="false">IF(A61="","",COUNTIFS(Defects!$C$5:$C$104,A61,Defects!$H$5:$H$104,"Open")+COUNTIFS(Defects!$C$5:$C$104,A61,Defects!$H$5:$H$104,"In Progress")+COUNTIFS(Defects!$C$5:$C$104,A61,Defects!$H$5:$H$104,"Fixed - Retest"))</f>
        <v/>
      </c>
      <c r="S61" s="30" t="str">
        <f aca="false">IF(A61="","",IF(L61&lt;&gt;"Approved","Not in scope yet",IF(M61=0,"No test coverage",IF(O61&gt;0,"Failing",IF(N61=M61,"Verified",IF(P61&gt;0,"Blocked",IF(N61&gt;0,"Partially verified","Not yet tested")))))))</f>
        <v/>
      </c>
      <c r="T61" s="13"/>
      <c r="U61" s="12"/>
      <c r="V61" s="29" t="str">
        <f aca="false">IF(OR(S61="No test coverage",S61="Failing",S61="Blocked"),ROW(),"")</f>
        <v/>
      </c>
    </row>
    <row r="62" customFormat="false" ht="19.5" hidden="false" customHeight="true" outlineLevel="0" collapsed="false">
      <c r="A62" s="13"/>
      <c r="B62" s="13"/>
      <c r="C62" s="12"/>
      <c r="D62" s="12"/>
      <c r="E62" s="13"/>
      <c r="F62" s="12"/>
      <c r="G62" s="13"/>
      <c r="H62" s="12"/>
      <c r="I62" s="12"/>
      <c r="J62" s="12"/>
      <c r="K62" s="13"/>
      <c r="L62" s="13"/>
      <c r="M62" s="29" t="str">
        <f aca="false">IF(A62="","",COUNTIFS('Test Cases'!$B$5:$B$204,A62))</f>
        <v/>
      </c>
      <c r="N62" s="29" t="str">
        <f aca="false">IF(A62="","",COUNTIFS('Test Cases'!$B$5:$B$204,A62,'Test Cases'!$L$5:$L$204,"Passed"))</f>
        <v/>
      </c>
      <c r="O62" s="29" t="str">
        <f aca="false">IF(A62="","",COUNTIFS('Test Cases'!$B$5:$B$204,A62,'Test Cases'!$L$5:$L$204,"Failed"))</f>
        <v/>
      </c>
      <c r="P62" s="29" t="str">
        <f aca="false">IF(A62="","",COUNTIFS('Test Cases'!$B$5:$B$204,A62,'Test Cases'!$L$5:$L$204,"Blocked"))</f>
        <v/>
      </c>
      <c r="Q62" s="29" t="str">
        <f aca="false">IF(A62="","",COUNTIFS('Test Cases'!$B$5:$B$204,A62,'Test Cases'!$L$5:$L$204,"Not Run"))</f>
        <v/>
      </c>
      <c r="R62" s="29" t="str">
        <f aca="false">IF(A62="","",COUNTIFS(Defects!$C$5:$C$104,A62,Defects!$H$5:$H$104,"Open")+COUNTIFS(Defects!$C$5:$C$104,A62,Defects!$H$5:$H$104,"In Progress")+COUNTIFS(Defects!$C$5:$C$104,A62,Defects!$H$5:$H$104,"Fixed - Retest"))</f>
        <v/>
      </c>
      <c r="S62" s="30" t="str">
        <f aca="false">IF(A62="","",IF(L62&lt;&gt;"Approved","Not in scope yet",IF(M62=0,"No test coverage",IF(O62&gt;0,"Failing",IF(N62=M62,"Verified",IF(P62&gt;0,"Blocked",IF(N62&gt;0,"Partially verified","Not yet tested")))))))</f>
        <v/>
      </c>
      <c r="T62" s="13"/>
      <c r="U62" s="12"/>
      <c r="V62" s="29" t="str">
        <f aca="false">IF(OR(S62="No test coverage",S62="Failing",S62="Blocked"),ROW(),"")</f>
        <v/>
      </c>
    </row>
    <row r="63" customFormat="false" ht="19.5" hidden="false" customHeight="true" outlineLevel="0" collapsed="false">
      <c r="A63" s="13"/>
      <c r="B63" s="13"/>
      <c r="C63" s="12"/>
      <c r="D63" s="12"/>
      <c r="E63" s="13"/>
      <c r="F63" s="12"/>
      <c r="G63" s="13"/>
      <c r="H63" s="12"/>
      <c r="I63" s="12"/>
      <c r="J63" s="12"/>
      <c r="K63" s="13"/>
      <c r="L63" s="13"/>
      <c r="M63" s="29" t="str">
        <f aca="false">IF(A63="","",COUNTIFS('Test Cases'!$B$5:$B$204,A63))</f>
        <v/>
      </c>
      <c r="N63" s="29" t="str">
        <f aca="false">IF(A63="","",COUNTIFS('Test Cases'!$B$5:$B$204,A63,'Test Cases'!$L$5:$L$204,"Passed"))</f>
        <v/>
      </c>
      <c r="O63" s="29" t="str">
        <f aca="false">IF(A63="","",COUNTIFS('Test Cases'!$B$5:$B$204,A63,'Test Cases'!$L$5:$L$204,"Failed"))</f>
        <v/>
      </c>
      <c r="P63" s="29" t="str">
        <f aca="false">IF(A63="","",COUNTIFS('Test Cases'!$B$5:$B$204,A63,'Test Cases'!$L$5:$L$204,"Blocked"))</f>
        <v/>
      </c>
      <c r="Q63" s="29" t="str">
        <f aca="false">IF(A63="","",COUNTIFS('Test Cases'!$B$5:$B$204,A63,'Test Cases'!$L$5:$L$204,"Not Run"))</f>
        <v/>
      </c>
      <c r="R63" s="29" t="str">
        <f aca="false">IF(A63="","",COUNTIFS(Defects!$C$5:$C$104,A63,Defects!$H$5:$H$104,"Open")+COUNTIFS(Defects!$C$5:$C$104,A63,Defects!$H$5:$H$104,"In Progress")+COUNTIFS(Defects!$C$5:$C$104,A63,Defects!$H$5:$H$104,"Fixed - Retest"))</f>
        <v/>
      </c>
      <c r="S63" s="30" t="str">
        <f aca="false">IF(A63="","",IF(L63&lt;&gt;"Approved","Not in scope yet",IF(M63=0,"No test coverage",IF(O63&gt;0,"Failing",IF(N63=M63,"Verified",IF(P63&gt;0,"Blocked",IF(N63&gt;0,"Partially verified","Not yet tested")))))))</f>
        <v/>
      </c>
      <c r="T63" s="13"/>
      <c r="U63" s="12"/>
      <c r="V63" s="29" t="str">
        <f aca="false">IF(OR(S63="No test coverage",S63="Failing",S63="Blocked"),ROW(),"")</f>
        <v/>
      </c>
    </row>
    <row r="64" customFormat="false" ht="19.5" hidden="false" customHeight="true" outlineLevel="0" collapsed="false">
      <c r="A64" s="13"/>
      <c r="B64" s="13"/>
      <c r="C64" s="12"/>
      <c r="D64" s="12"/>
      <c r="E64" s="13"/>
      <c r="F64" s="12"/>
      <c r="G64" s="13"/>
      <c r="H64" s="12"/>
      <c r="I64" s="12"/>
      <c r="J64" s="12"/>
      <c r="K64" s="13"/>
      <c r="L64" s="13"/>
      <c r="M64" s="29" t="str">
        <f aca="false">IF(A64="","",COUNTIFS('Test Cases'!$B$5:$B$204,A64))</f>
        <v/>
      </c>
      <c r="N64" s="29" t="str">
        <f aca="false">IF(A64="","",COUNTIFS('Test Cases'!$B$5:$B$204,A64,'Test Cases'!$L$5:$L$204,"Passed"))</f>
        <v/>
      </c>
      <c r="O64" s="29" t="str">
        <f aca="false">IF(A64="","",COUNTIFS('Test Cases'!$B$5:$B$204,A64,'Test Cases'!$L$5:$L$204,"Failed"))</f>
        <v/>
      </c>
      <c r="P64" s="29" t="str">
        <f aca="false">IF(A64="","",COUNTIFS('Test Cases'!$B$5:$B$204,A64,'Test Cases'!$L$5:$L$204,"Blocked"))</f>
        <v/>
      </c>
      <c r="Q64" s="29" t="str">
        <f aca="false">IF(A64="","",COUNTIFS('Test Cases'!$B$5:$B$204,A64,'Test Cases'!$L$5:$L$204,"Not Run"))</f>
        <v/>
      </c>
      <c r="R64" s="29" t="str">
        <f aca="false">IF(A64="","",COUNTIFS(Defects!$C$5:$C$104,A64,Defects!$H$5:$H$104,"Open")+COUNTIFS(Defects!$C$5:$C$104,A64,Defects!$H$5:$H$104,"In Progress")+COUNTIFS(Defects!$C$5:$C$104,A64,Defects!$H$5:$H$104,"Fixed - Retest"))</f>
        <v/>
      </c>
      <c r="S64" s="30" t="str">
        <f aca="false">IF(A64="","",IF(L64&lt;&gt;"Approved","Not in scope yet",IF(M64=0,"No test coverage",IF(O64&gt;0,"Failing",IF(N64=M64,"Verified",IF(P64&gt;0,"Blocked",IF(N64&gt;0,"Partially verified","Not yet tested")))))))</f>
        <v/>
      </c>
      <c r="T64" s="13"/>
      <c r="U64" s="12"/>
      <c r="V64" s="29" t="str">
        <f aca="false">IF(OR(S64="No test coverage",S64="Failing",S64="Blocked"),ROW(),"")</f>
        <v/>
      </c>
    </row>
  </sheetData>
  <autoFilter ref="A4:U64"/>
  <conditionalFormatting sqref="S5:S64">
    <cfRule type="cellIs" priority="2" operator="equal" aboveAverage="0" equalAverage="0" bottom="0" percent="0" rank="0" text="" dxfId="0">
      <formula>"Verified"</formula>
    </cfRule>
    <cfRule type="cellIs" priority="3" operator="equal" aboveAverage="0" equalAverage="0" bottom="0" percent="0" rank="0" text="" dxfId="0">
      <formula>"Evidenced"</formula>
    </cfRule>
    <cfRule type="cellIs" priority="4" operator="equal" aboveAverage="0" equalAverage="0" bottom="0" percent="0" rank="0" text="" dxfId="1">
      <formula>"Partially verified"</formula>
    </cfRule>
    <cfRule type="cellIs" priority="5" operator="equal" aboveAverage="0" equalAverage="0" bottom="0" percent="0" rank="0" text="" dxfId="1">
      <formula>"Partially evidenced"</formula>
    </cfRule>
    <cfRule type="cellIs" priority="6" operator="equal" aboveAverage="0" equalAverage="0" bottom="0" percent="0" rank="0" text="" dxfId="2">
      <formula>"Not yet tested"</formula>
    </cfRule>
    <cfRule type="cellIs" priority="7" operator="equal" aboveAverage="0" equalAverage="0" bottom="0" percent="0" rank="0" text="" dxfId="3">
      <formula>"Blocked"</formula>
    </cfRule>
    <cfRule type="cellIs" priority="8" operator="equal" aboveAverage="0" equalAverage="0" bottom="0" percent="0" rank="0" text="" dxfId="4">
      <formula>"Failing"</formula>
    </cfRule>
    <cfRule type="cellIs" priority="9" operator="equal" aboveAverage="0" equalAverage="0" bottom="0" percent="0" rank="0" text="" dxfId="4">
      <formula>"No test coverage"</formula>
    </cfRule>
    <cfRule type="cellIs" priority="10" operator="equal" aboveAverage="0" equalAverage="0" bottom="0" percent="0" rank="0" text="" dxfId="2">
      <formula>"Not in scope yet"</formula>
    </cfRule>
  </conditionalFormatting>
  <conditionalFormatting sqref="O5:O64">
    <cfRule type="cellIs" priority="11" operator="greaterThan" aboveAverage="0" equalAverage="0" bottom="0" percent="0" rank="0" text="" dxfId="4">
      <formula>0</formula>
    </cfRule>
  </conditionalFormatting>
  <conditionalFormatting sqref="R5:R64">
    <cfRule type="cellIs" priority="12" operator="greaterThan" aboveAverage="0" equalAverage="0" bottom="0" percent="0" rank="0" text="" dxfId="4">
      <formula>0</formula>
    </cfRule>
  </conditionalFormatting>
  <dataValidations count="5">
    <dataValidation allowBlank="true" errorStyle="stop" operator="between" showDropDown="false" showErrorMessage="false" showInputMessage="false" sqref="B5:B64" type="list">
      <formula1>"Functional,Integration,Security,Compliance,Non-functional,Reporting,Data Quality,Analytics"</formula1>
      <formula2>0</formula2>
    </dataValidation>
    <dataValidation allowBlank="true" errorStyle="stop" operator="between" showDropDown="false" showErrorMessage="false" showInputMessage="false" sqref="E5:E64" type="list">
      <formula1>"Must,Should,Could,Won't (this release)"</formula1>
      <formula2>0</formula2>
    </dataValidation>
    <dataValidation allowBlank="true" errorStyle="stop" operator="between" showDropDown="false" showErrorMessage="false" showInputMessage="false" sqref="K5:K64" type="list">
      <formula1>"Test,Inspection,Demonstration,Analysis"</formula1>
      <formula2>0</formula2>
    </dataValidation>
    <dataValidation allowBlank="true" errorStyle="stop" operator="between" showDropDown="false" showErrorMessage="false" showInputMessage="false" sqref="L5:L64" type="list">
      <formula1>"Approved,Pending decision,Deferred,Withdrawn"</formula1>
      <formula2>0</formula2>
    </dataValidation>
    <dataValidation allowBlank="true" errorStyle="stop" operator="between" showDropDown="false" showErrorMessage="false" showInputMessage="false" sqref="T5:T64" type="list">
      <formula1>"Not Started,Signed Off,Rejected"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2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8"/>
    <col collapsed="false" customWidth="true" hidden="false" outlineLevel="0" max="3" min="3" style="0" width="30"/>
    <col collapsed="false" customWidth="true" hidden="false" outlineLevel="0" max="4" min="4" style="0" width="8"/>
    <col collapsed="false" customWidth="true" hidden="false" outlineLevel="0" max="5" min="5" style="0" width="9"/>
    <col collapsed="false" customWidth="true" hidden="false" outlineLevel="0" max="6" min="6" style="0" width="12"/>
    <col collapsed="false" customWidth="true" hidden="false" outlineLevel="0" max="7" min="7" style="0" width="9"/>
    <col collapsed="false" customWidth="true" hidden="false" outlineLevel="0" max="8" min="8" style="0" width="30"/>
    <col collapsed="false" customWidth="true" hidden="false" outlineLevel="0" max="9" min="9" style="0" width="28"/>
    <col collapsed="false" customWidth="true" hidden="false" outlineLevel="0" max="10" min="10" style="0" width="36"/>
    <col collapsed="false" customWidth="true" hidden="false" outlineLevel="0" max="11" min="11" style="0" width="14"/>
    <col collapsed="false" customWidth="true" hidden="false" outlineLevel="0" max="12" min="12" style="0" width="11"/>
    <col collapsed="false" customWidth="true" hidden="false" outlineLevel="0" max="13" min="13" style="0" width="12"/>
    <col collapsed="false" customWidth="true" hidden="false" outlineLevel="0" max="15" min="14" style="0" width="10"/>
    <col collapsed="false" customWidth="true" hidden="false" outlineLevel="0" max="16" min="16" style="0" width="32"/>
  </cols>
  <sheetData>
    <row r="1" customFormat="false" ht="19.7" hidden="false" customHeight="false" outlineLevel="0" collapsed="false">
      <c r="A1" s="25" t="s">
        <v>290</v>
      </c>
    </row>
    <row r="2" customFormat="false" ht="15" hidden="false" customHeight="false" outlineLevel="0" collapsed="false">
      <c r="A2" s="16" t="s">
        <v>291</v>
      </c>
    </row>
    <row r="3" customFormat="false" ht="15" hidden="false" customHeight="false" outlineLevel="0" collapsed="false">
      <c r="A3" s="26" t="s">
        <v>119</v>
      </c>
    </row>
    <row r="4" customFormat="false" ht="39.75" hidden="false" customHeight="true" outlineLevel="0" collapsed="false">
      <c r="A4" s="27" t="s">
        <v>292</v>
      </c>
      <c r="B4" s="27" t="s">
        <v>106</v>
      </c>
      <c r="C4" s="28" t="s">
        <v>107</v>
      </c>
      <c r="D4" s="27" t="s">
        <v>293</v>
      </c>
      <c r="E4" s="27" t="s">
        <v>112</v>
      </c>
      <c r="F4" s="27" t="s">
        <v>294</v>
      </c>
      <c r="G4" s="27" t="s">
        <v>295</v>
      </c>
      <c r="H4" s="27" t="s">
        <v>296</v>
      </c>
      <c r="I4" s="27" t="s">
        <v>297</v>
      </c>
      <c r="J4" s="27" t="s">
        <v>298</v>
      </c>
      <c r="K4" s="27" t="s">
        <v>299</v>
      </c>
      <c r="L4" s="27" t="s">
        <v>300</v>
      </c>
      <c r="M4" s="27" t="s">
        <v>301</v>
      </c>
      <c r="N4" s="27" t="s">
        <v>302</v>
      </c>
      <c r="O4" s="27" t="s">
        <v>303</v>
      </c>
      <c r="P4" s="27" t="s">
        <v>132</v>
      </c>
    </row>
    <row r="5" customFormat="false" ht="31.5" hidden="false" customHeight="true" outlineLevel="0" collapsed="false">
      <c r="A5" s="13" t="s">
        <v>304</v>
      </c>
      <c r="B5" s="13" t="s">
        <v>134</v>
      </c>
      <c r="C5" s="31" t="str">
        <f aca="false">IF(B5="","",IFERROR(INDEX(Requirements!$C$5:$C$64,MATCH(B5,Requirements!$A$5:$A$64,0)),"Unknown requirement"))</f>
        <v>Merchants can view all open disputes, their status and response deadlines in one self-service portal.</v>
      </c>
      <c r="D5" s="13" t="s">
        <v>305</v>
      </c>
      <c r="E5" s="13"/>
      <c r="F5" s="13" t="s">
        <v>93</v>
      </c>
      <c r="G5" s="13" t="s">
        <v>41</v>
      </c>
      <c r="H5" s="12" t="s">
        <v>306</v>
      </c>
      <c r="I5" s="12" t="s">
        <v>307</v>
      </c>
      <c r="J5" s="12" t="s">
        <v>308</v>
      </c>
      <c r="K5" s="13" t="s">
        <v>309</v>
      </c>
      <c r="L5" s="13" t="s">
        <v>102</v>
      </c>
      <c r="M5" s="14" t="n">
        <v>46247</v>
      </c>
      <c r="N5" s="13" t="s">
        <v>41</v>
      </c>
      <c r="O5" s="13"/>
      <c r="P5" s="12"/>
    </row>
    <row r="6" customFormat="false" ht="31.5" hidden="false" customHeight="true" outlineLevel="0" collapsed="false">
      <c r="A6" s="13" t="s">
        <v>310</v>
      </c>
      <c r="B6" s="13" t="s">
        <v>134</v>
      </c>
      <c r="C6" s="31" t="str">
        <f aca="false">IF(B6="","",IFERROR(INDEX(Requirements!$C$5:$C$64,MATCH(B6,Requirements!$A$5:$A$64,0)),"Unknown requirement"))</f>
        <v>Merchants can view all open disputes, their status and response deadlines in one self-service portal.</v>
      </c>
      <c r="D6" s="13" t="s">
        <v>305</v>
      </c>
      <c r="E6" s="13"/>
      <c r="F6" s="13" t="s">
        <v>93</v>
      </c>
      <c r="G6" s="13" t="s">
        <v>41</v>
      </c>
      <c r="H6" s="12" t="s">
        <v>311</v>
      </c>
      <c r="I6" s="12" t="s">
        <v>312</v>
      </c>
      <c r="J6" s="12" t="s">
        <v>313</v>
      </c>
      <c r="K6" s="13" t="s">
        <v>309</v>
      </c>
      <c r="L6" s="13" t="s">
        <v>102</v>
      </c>
      <c r="M6" s="14" t="n">
        <v>46254</v>
      </c>
      <c r="N6" s="13" t="s">
        <v>41</v>
      </c>
      <c r="O6" s="13" t="s">
        <v>314</v>
      </c>
      <c r="P6" s="12" t="s">
        <v>315</v>
      </c>
    </row>
    <row r="7" customFormat="false" ht="45" hidden="false" customHeight="true" outlineLevel="0" collapsed="false">
      <c r="A7" s="13" t="s">
        <v>316</v>
      </c>
      <c r="B7" s="13" t="s">
        <v>134</v>
      </c>
      <c r="C7" s="31" t="str">
        <f aca="false">IF(B7="","",IFERROR(INDEX(Requirements!$C$5:$C$64,MATCH(B7,Requirements!$A$5:$A$64,0)),"Unknown requirement"))</f>
        <v>Merchants can view all open disputes, their status and response deadlines in one self-service portal.</v>
      </c>
      <c r="D7" s="13" t="s">
        <v>317</v>
      </c>
      <c r="E7" s="13"/>
      <c r="F7" s="13" t="s">
        <v>93</v>
      </c>
      <c r="G7" s="13" t="s">
        <v>41</v>
      </c>
      <c r="H7" s="12" t="s">
        <v>318</v>
      </c>
      <c r="I7" s="12" t="s">
        <v>319</v>
      </c>
      <c r="J7" s="12" t="s">
        <v>320</v>
      </c>
      <c r="K7" s="13" t="s">
        <v>309</v>
      </c>
      <c r="L7" s="13" t="s">
        <v>102</v>
      </c>
      <c r="M7" s="14" t="n">
        <v>46261</v>
      </c>
      <c r="N7" s="13" t="s">
        <v>41</v>
      </c>
      <c r="O7" s="13" t="s">
        <v>321</v>
      </c>
      <c r="P7" s="12" t="s">
        <v>322</v>
      </c>
    </row>
    <row r="8" customFormat="false" ht="31.5" hidden="false" customHeight="true" outlineLevel="0" collapsed="false">
      <c r="A8" s="13" t="s">
        <v>323</v>
      </c>
      <c r="B8" s="13" t="s">
        <v>134</v>
      </c>
      <c r="C8" s="31" t="str">
        <f aca="false">IF(B8="","",IFERROR(INDEX(Requirements!$C$5:$C$64,MATCH(B8,Requirements!$A$5:$A$64,0)),"Unknown requirement"))</f>
        <v>Merchants can view all open disputes, their status and response deadlines in one self-service portal.</v>
      </c>
      <c r="D8" s="13" t="s">
        <v>324</v>
      </c>
      <c r="E8" s="13"/>
      <c r="F8" s="13" t="s">
        <v>93</v>
      </c>
      <c r="G8" s="13" t="s">
        <v>41</v>
      </c>
      <c r="H8" s="12" t="s">
        <v>325</v>
      </c>
      <c r="I8" s="12" t="s">
        <v>326</v>
      </c>
      <c r="J8" s="12" t="s">
        <v>327</v>
      </c>
      <c r="K8" s="13" t="s">
        <v>309</v>
      </c>
      <c r="L8" s="13" t="s">
        <v>102</v>
      </c>
      <c r="M8" s="14" t="n">
        <v>46261</v>
      </c>
      <c r="N8" s="13" t="s">
        <v>41</v>
      </c>
      <c r="O8" s="13"/>
      <c r="P8" s="12"/>
    </row>
    <row r="9" customFormat="false" ht="31.5" hidden="false" customHeight="true" outlineLevel="0" collapsed="false">
      <c r="A9" s="13" t="s">
        <v>328</v>
      </c>
      <c r="B9" s="13" t="s">
        <v>134</v>
      </c>
      <c r="C9" s="31" t="str">
        <f aca="false">IF(B9="","",IFERROR(INDEX(Requirements!$C$5:$C$64,MATCH(B9,Requirements!$A$5:$A$64,0)),"Unknown requirement"))</f>
        <v>Merchants can view all open disputes, their status and response deadlines in one self-service portal.</v>
      </c>
      <c r="D9" s="13" t="s">
        <v>329</v>
      </c>
      <c r="E9" s="13"/>
      <c r="F9" s="13" t="s">
        <v>93</v>
      </c>
      <c r="G9" s="13" t="s">
        <v>41</v>
      </c>
      <c r="H9" s="12" t="s">
        <v>330</v>
      </c>
      <c r="I9" s="12" t="s">
        <v>331</v>
      </c>
      <c r="J9" s="12" t="s">
        <v>332</v>
      </c>
      <c r="K9" s="13" t="s">
        <v>309</v>
      </c>
      <c r="L9" s="13" t="s">
        <v>104</v>
      </c>
      <c r="M9" s="14"/>
      <c r="N9" s="13" t="s">
        <v>41</v>
      </c>
      <c r="O9" s="13"/>
      <c r="P9" s="12" t="s">
        <v>333</v>
      </c>
    </row>
    <row r="10" customFormat="false" ht="45" hidden="false" customHeight="true" outlineLevel="0" collapsed="false">
      <c r="A10" s="13" t="s">
        <v>334</v>
      </c>
      <c r="B10" s="13" t="s">
        <v>134</v>
      </c>
      <c r="C10" s="31" t="str">
        <f aca="false">IF(B10="","",IFERROR(INDEX(Requirements!$C$5:$C$64,MATCH(B10,Requirements!$A$5:$A$64,0)),"Unknown requirement"))</f>
        <v>Merchants can view all open disputes, their status and response deadlines in one self-service portal.</v>
      </c>
      <c r="D10" s="13" t="s">
        <v>305</v>
      </c>
      <c r="E10" s="13"/>
      <c r="F10" s="13" t="s">
        <v>43</v>
      </c>
      <c r="G10" s="13" t="s">
        <v>43</v>
      </c>
      <c r="H10" s="12" t="s">
        <v>335</v>
      </c>
      <c r="I10" s="12" t="s">
        <v>336</v>
      </c>
      <c r="J10" s="12" t="s">
        <v>337</v>
      </c>
      <c r="K10" s="13" t="s">
        <v>338</v>
      </c>
      <c r="L10" s="13" t="s">
        <v>104</v>
      </c>
      <c r="M10" s="14"/>
      <c r="N10" s="13" t="s">
        <v>43</v>
      </c>
      <c r="O10" s="13"/>
      <c r="P10" s="12" t="s">
        <v>339</v>
      </c>
    </row>
    <row r="11" customFormat="false" ht="31.5" hidden="false" customHeight="true" outlineLevel="0" collapsed="false">
      <c r="A11" s="13" t="s">
        <v>340</v>
      </c>
      <c r="B11" s="13" t="s">
        <v>144</v>
      </c>
      <c r="C11" s="31" t="str">
        <f aca="false">IF(B11="","",IFERROR(INDEX(Requirements!$C$5:$C$64,MATCH(B11,Requirements!$A$5:$A$64,0)),"Unknown requirement"))</f>
        <v>Merchant users sign in with company single sign-on and receive role-based access (Admin, Finance, Operations).</v>
      </c>
      <c r="D11" s="13" t="s">
        <v>341</v>
      </c>
      <c r="E11" s="13" t="s">
        <v>150</v>
      </c>
      <c r="F11" s="13" t="s">
        <v>47</v>
      </c>
      <c r="G11" s="13" t="s">
        <v>41</v>
      </c>
      <c r="H11" s="12" t="s">
        <v>342</v>
      </c>
      <c r="I11" s="12" t="s">
        <v>343</v>
      </c>
      <c r="J11" s="12" t="s">
        <v>344</v>
      </c>
      <c r="K11" s="13" t="s">
        <v>309</v>
      </c>
      <c r="L11" s="13" t="s">
        <v>102</v>
      </c>
      <c r="M11" s="14" t="n">
        <v>46233</v>
      </c>
      <c r="N11" s="13" t="s">
        <v>41</v>
      </c>
      <c r="O11" s="13"/>
      <c r="P11" s="12"/>
    </row>
    <row r="12" customFormat="false" ht="31.5" hidden="false" customHeight="true" outlineLevel="0" collapsed="false">
      <c r="A12" s="13" t="s">
        <v>345</v>
      </c>
      <c r="B12" s="13" t="s">
        <v>144</v>
      </c>
      <c r="C12" s="31" t="str">
        <f aca="false">IF(B12="","",IFERROR(INDEX(Requirements!$C$5:$C$64,MATCH(B12,Requirements!$A$5:$A$64,0)),"Unknown requirement"))</f>
        <v>Merchant users sign in with company single sign-on and receive role-based access (Admin, Finance, Operations).</v>
      </c>
      <c r="D12" s="13" t="s">
        <v>341</v>
      </c>
      <c r="E12" s="13" t="s">
        <v>150</v>
      </c>
      <c r="F12" s="13" t="s">
        <v>47</v>
      </c>
      <c r="G12" s="13" t="s">
        <v>41</v>
      </c>
      <c r="H12" s="12" t="s">
        <v>346</v>
      </c>
      <c r="I12" s="12" t="s">
        <v>347</v>
      </c>
      <c r="J12" s="12" t="s">
        <v>348</v>
      </c>
      <c r="K12" s="13" t="s">
        <v>309</v>
      </c>
      <c r="L12" s="13" t="s">
        <v>102</v>
      </c>
      <c r="M12" s="14" t="n">
        <v>46233</v>
      </c>
      <c r="N12" s="13" t="s">
        <v>41</v>
      </c>
      <c r="O12" s="13"/>
      <c r="P12" s="12"/>
    </row>
    <row r="13" customFormat="false" ht="31.5" hidden="false" customHeight="true" outlineLevel="0" collapsed="false">
      <c r="A13" s="13" t="s">
        <v>349</v>
      </c>
      <c r="B13" s="13" t="s">
        <v>144</v>
      </c>
      <c r="C13" s="31" t="str">
        <f aca="false">IF(B13="","",IFERROR(INDEX(Requirements!$C$5:$C$64,MATCH(B13,Requirements!$A$5:$A$64,0)),"Unknown requirement"))</f>
        <v>Merchant users sign in with company single sign-on and receive role-based access (Admin, Finance, Operations).</v>
      </c>
      <c r="D13" s="13" t="s">
        <v>341</v>
      </c>
      <c r="E13" s="13" t="s">
        <v>150</v>
      </c>
      <c r="F13" s="13" t="s">
        <v>350</v>
      </c>
      <c r="G13" s="13" t="s">
        <v>41</v>
      </c>
      <c r="H13" s="12" t="s">
        <v>351</v>
      </c>
      <c r="I13" s="12" t="s">
        <v>352</v>
      </c>
      <c r="J13" s="12" t="s">
        <v>353</v>
      </c>
      <c r="K13" s="13" t="s">
        <v>309</v>
      </c>
      <c r="L13" s="13" t="s">
        <v>103</v>
      </c>
      <c r="M13" s="14" t="n">
        <v>46273</v>
      </c>
      <c r="N13" s="13" t="s">
        <v>41</v>
      </c>
      <c r="O13" s="13" t="s">
        <v>354</v>
      </c>
      <c r="P13" s="12" t="s">
        <v>355</v>
      </c>
    </row>
    <row r="14" customFormat="false" ht="31.5" hidden="false" customHeight="true" outlineLevel="0" collapsed="false">
      <c r="A14" s="13" t="s">
        <v>356</v>
      </c>
      <c r="B14" s="13" t="s">
        <v>144</v>
      </c>
      <c r="C14" s="31" t="str">
        <f aca="false">IF(B14="","",IFERROR(INDEX(Requirements!$C$5:$C$64,MATCH(B14,Requirements!$A$5:$A$64,0)),"Unknown requirement"))</f>
        <v>Merchant users sign in with company single sign-on and receive role-based access (Admin, Finance, Operations).</v>
      </c>
      <c r="D14" s="13" t="s">
        <v>357</v>
      </c>
      <c r="E14" s="13" t="s">
        <v>150</v>
      </c>
      <c r="F14" s="13" t="s">
        <v>93</v>
      </c>
      <c r="G14" s="13" t="s">
        <v>41</v>
      </c>
      <c r="H14" s="12" t="s">
        <v>358</v>
      </c>
      <c r="I14" s="12" t="s">
        <v>359</v>
      </c>
      <c r="J14" s="12" t="s">
        <v>360</v>
      </c>
      <c r="K14" s="13" t="s">
        <v>309</v>
      </c>
      <c r="L14" s="13" t="s">
        <v>104</v>
      </c>
      <c r="M14" s="14"/>
      <c r="N14" s="13" t="s">
        <v>41</v>
      </c>
      <c r="O14" s="13"/>
      <c r="P14" s="12" t="s">
        <v>361</v>
      </c>
    </row>
    <row r="15" customFormat="false" ht="31.5" hidden="false" customHeight="true" outlineLevel="0" collapsed="false">
      <c r="A15" s="13" t="s">
        <v>362</v>
      </c>
      <c r="B15" s="13" t="s">
        <v>144</v>
      </c>
      <c r="C15" s="31" t="str">
        <f aca="false">IF(B15="","",IFERROR(INDEX(Requirements!$C$5:$C$64,MATCH(B15,Requirements!$A$5:$A$64,0)),"Unknown requirement"))</f>
        <v>Merchant users sign in with company single sign-on and receive role-based access (Admin, Finance, Operations).</v>
      </c>
      <c r="D15" s="13" t="s">
        <v>363</v>
      </c>
      <c r="E15" s="13" t="s">
        <v>150</v>
      </c>
      <c r="F15" s="13" t="s">
        <v>47</v>
      </c>
      <c r="G15" s="13" t="s">
        <v>41</v>
      </c>
      <c r="H15" s="12" t="s">
        <v>364</v>
      </c>
      <c r="I15" s="12" t="s">
        <v>365</v>
      </c>
      <c r="J15" s="12" t="s">
        <v>366</v>
      </c>
      <c r="K15" s="13" t="s">
        <v>309</v>
      </c>
      <c r="L15" s="13" t="s">
        <v>104</v>
      </c>
      <c r="M15" s="14"/>
      <c r="N15" s="13" t="s">
        <v>41</v>
      </c>
      <c r="O15" s="13"/>
      <c r="P15" s="12"/>
    </row>
    <row r="16" customFormat="false" ht="31.5" hidden="false" customHeight="true" outlineLevel="0" collapsed="false">
      <c r="A16" s="13" t="s">
        <v>367</v>
      </c>
      <c r="B16" s="13" t="s">
        <v>152</v>
      </c>
      <c r="C16" s="31" t="str">
        <f aca="false">IF(B16="","",IFERROR(INDEX(Requirements!$C$5:$C$64,MATCH(B16,Requirements!$A$5:$A$64,0)),"Unknown requirement"))</f>
        <v>Merchants can upload evidence and submit a dispute response to the processor before the deadline.</v>
      </c>
      <c r="D16" s="13" t="s">
        <v>368</v>
      </c>
      <c r="E16" s="13"/>
      <c r="F16" s="13" t="s">
        <v>93</v>
      </c>
      <c r="G16" s="13" t="s">
        <v>41</v>
      </c>
      <c r="H16" s="12" t="s">
        <v>369</v>
      </c>
      <c r="I16" s="12" t="s">
        <v>370</v>
      </c>
      <c r="J16" s="12" t="s">
        <v>371</v>
      </c>
      <c r="K16" s="13" t="s">
        <v>309</v>
      </c>
      <c r="L16" s="13" t="s">
        <v>104</v>
      </c>
      <c r="M16" s="14"/>
      <c r="N16" s="13" t="s">
        <v>41</v>
      </c>
      <c r="O16" s="13"/>
      <c r="P16" s="12"/>
    </row>
    <row r="17" customFormat="false" ht="31.5" hidden="false" customHeight="true" outlineLevel="0" collapsed="false">
      <c r="A17" s="13" t="s">
        <v>372</v>
      </c>
      <c r="B17" s="13" t="s">
        <v>152</v>
      </c>
      <c r="C17" s="31" t="str">
        <f aca="false">IF(B17="","",IFERROR(INDEX(Requirements!$C$5:$C$64,MATCH(B17,Requirements!$A$5:$A$64,0)),"Unknown requirement"))</f>
        <v>Merchants can upload evidence and submit a dispute response to the processor before the deadline.</v>
      </c>
      <c r="D17" s="13" t="s">
        <v>368</v>
      </c>
      <c r="E17" s="13"/>
      <c r="F17" s="13" t="s">
        <v>93</v>
      </c>
      <c r="G17" s="13" t="s">
        <v>41</v>
      </c>
      <c r="H17" s="12" t="s">
        <v>373</v>
      </c>
      <c r="I17" s="12" t="s">
        <v>374</v>
      </c>
      <c r="J17" s="12" t="s">
        <v>375</v>
      </c>
      <c r="K17" s="13" t="s">
        <v>309</v>
      </c>
      <c r="L17" s="13" t="s">
        <v>104</v>
      </c>
      <c r="M17" s="14"/>
      <c r="N17" s="13" t="s">
        <v>41</v>
      </c>
      <c r="O17" s="13"/>
      <c r="P17" s="12"/>
    </row>
    <row r="18" customFormat="false" ht="45" hidden="false" customHeight="true" outlineLevel="0" collapsed="false">
      <c r="A18" s="13" t="s">
        <v>376</v>
      </c>
      <c r="B18" s="13" t="s">
        <v>152</v>
      </c>
      <c r="C18" s="31" t="str">
        <f aca="false">IF(B18="","",IFERROR(INDEX(Requirements!$C$5:$C$64,MATCH(B18,Requirements!$A$5:$A$64,0)),"Unknown requirement"))</f>
        <v>Merchants can upload evidence and submit a dispute response to the processor before the deadline.</v>
      </c>
      <c r="D18" s="13" t="s">
        <v>377</v>
      </c>
      <c r="E18" s="13"/>
      <c r="F18" s="13" t="s">
        <v>94</v>
      </c>
      <c r="G18" s="13" t="s">
        <v>41</v>
      </c>
      <c r="H18" s="12" t="s">
        <v>378</v>
      </c>
      <c r="I18" s="12" t="s">
        <v>379</v>
      </c>
      <c r="J18" s="12" t="s">
        <v>380</v>
      </c>
      <c r="K18" s="13" t="s">
        <v>309</v>
      </c>
      <c r="L18" s="13" t="s">
        <v>104</v>
      </c>
      <c r="M18" s="14"/>
      <c r="N18" s="13" t="s">
        <v>41</v>
      </c>
      <c r="O18" s="13"/>
      <c r="P18" s="12"/>
    </row>
    <row r="19" customFormat="false" ht="31.5" hidden="false" customHeight="true" outlineLevel="0" collapsed="false">
      <c r="A19" s="13" t="s">
        <v>381</v>
      </c>
      <c r="B19" s="13" t="s">
        <v>152</v>
      </c>
      <c r="C19" s="31" t="str">
        <f aca="false">IF(B19="","",IFERROR(INDEX(Requirements!$C$5:$C$64,MATCH(B19,Requirements!$A$5:$A$64,0)),"Unknown requirement"))</f>
        <v>Merchants can upload evidence and submit a dispute response to the processor before the deadline.</v>
      </c>
      <c r="D19" s="13" t="s">
        <v>377</v>
      </c>
      <c r="E19" s="13"/>
      <c r="F19" s="13" t="s">
        <v>94</v>
      </c>
      <c r="G19" s="13" t="s">
        <v>41</v>
      </c>
      <c r="H19" s="12" t="s">
        <v>382</v>
      </c>
      <c r="I19" s="12" t="s">
        <v>383</v>
      </c>
      <c r="J19" s="12" t="s">
        <v>384</v>
      </c>
      <c r="K19" s="13" t="s">
        <v>309</v>
      </c>
      <c r="L19" s="13" t="s">
        <v>104</v>
      </c>
      <c r="M19" s="14"/>
      <c r="N19" s="13" t="s">
        <v>41</v>
      </c>
      <c r="O19" s="13"/>
      <c r="P19" s="12"/>
    </row>
    <row r="20" customFormat="false" ht="31.5" hidden="false" customHeight="true" outlineLevel="0" collapsed="false">
      <c r="A20" s="13" t="s">
        <v>385</v>
      </c>
      <c r="B20" s="13" t="s">
        <v>152</v>
      </c>
      <c r="C20" s="31" t="str">
        <f aca="false">IF(B20="","",IFERROR(INDEX(Requirements!$C$5:$C$64,MATCH(B20,Requirements!$A$5:$A$64,0)),"Unknown requirement"))</f>
        <v>Merchants can upload evidence and submit a dispute response to the processor before the deadline.</v>
      </c>
      <c r="D20" s="13" t="s">
        <v>377</v>
      </c>
      <c r="E20" s="13"/>
      <c r="F20" s="13" t="s">
        <v>43</v>
      </c>
      <c r="G20" s="13" t="s">
        <v>43</v>
      </c>
      <c r="H20" s="12" t="s">
        <v>386</v>
      </c>
      <c r="I20" s="12" t="s">
        <v>387</v>
      </c>
      <c r="J20" s="12" t="s">
        <v>388</v>
      </c>
      <c r="K20" s="13" t="s">
        <v>338</v>
      </c>
      <c r="L20" s="13" t="s">
        <v>104</v>
      </c>
      <c r="M20" s="14"/>
      <c r="N20" s="13" t="s">
        <v>43</v>
      </c>
      <c r="O20" s="13"/>
      <c r="P20" s="12"/>
    </row>
    <row r="21" customFormat="false" ht="31.5" hidden="false" customHeight="true" outlineLevel="0" collapsed="false">
      <c r="A21" s="13" t="s">
        <v>389</v>
      </c>
      <c r="B21" s="13" t="s">
        <v>159</v>
      </c>
      <c r="C21" s="31" t="str">
        <f aca="false">IF(B21="","",IFERROR(INDEX(Requirements!$C$5:$C$64,MATCH(B21,Requirements!$A$5:$A$64,0)),"Unknown requirement"))</f>
        <v>Full card numbers are never stored or displayed in evidence, exports or analytics.</v>
      </c>
      <c r="D21" s="13" t="s">
        <v>390</v>
      </c>
      <c r="E21" s="13" t="s">
        <v>203</v>
      </c>
      <c r="F21" s="13" t="s">
        <v>47</v>
      </c>
      <c r="G21" s="13" t="s">
        <v>41</v>
      </c>
      <c r="H21" s="12" t="s">
        <v>391</v>
      </c>
      <c r="I21" s="12" t="s">
        <v>392</v>
      </c>
      <c r="J21" s="12" t="s">
        <v>393</v>
      </c>
      <c r="K21" s="13" t="s">
        <v>309</v>
      </c>
      <c r="L21" s="13" t="s">
        <v>104</v>
      </c>
      <c r="M21" s="14"/>
      <c r="N21" s="13" t="s">
        <v>41</v>
      </c>
      <c r="O21" s="13"/>
      <c r="P21" s="12"/>
    </row>
    <row r="22" customFormat="false" ht="31.5" hidden="false" customHeight="true" outlineLevel="0" collapsed="false">
      <c r="A22" s="13" t="s">
        <v>394</v>
      </c>
      <c r="B22" s="13" t="s">
        <v>159</v>
      </c>
      <c r="C22" s="31" t="str">
        <f aca="false">IF(B22="","",IFERROR(INDEX(Requirements!$C$5:$C$64,MATCH(B22,Requirements!$A$5:$A$64,0)),"Unknown requirement"))</f>
        <v>Full card numbers are never stored or displayed in evidence, exports or analytics.</v>
      </c>
      <c r="D22" s="13" t="s">
        <v>390</v>
      </c>
      <c r="E22" s="13" t="s">
        <v>203</v>
      </c>
      <c r="F22" s="13" t="s">
        <v>47</v>
      </c>
      <c r="G22" s="13" t="s">
        <v>41</v>
      </c>
      <c r="H22" s="12" t="s">
        <v>395</v>
      </c>
      <c r="I22" s="12" t="s">
        <v>396</v>
      </c>
      <c r="J22" s="12" t="s">
        <v>397</v>
      </c>
      <c r="K22" s="13" t="s">
        <v>309</v>
      </c>
      <c r="L22" s="13" t="s">
        <v>104</v>
      </c>
      <c r="M22" s="14"/>
      <c r="N22" s="13" t="s">
        <v>41</v>
      </c>
      <c r="O22" s="13"/>
      <c r="P22" s="12"/>
    </row>
    <row r="23" customFormat="false" ht="31.5" hidden="false" customHeight="true" outlineLevel="0" collapsed="false">
      <c r="A23" s="13" t="s">
        <v>398</v>
      </c>
      <c r="B23" s="13" t="s">
        <v>159</v>
      </c>
      <c r="C23" s="31" t="str">
        <f aca="false">IF(B23="","",IFERROR(INDEX(Requirements!$C$5:$C$64,MATCH(B23,Requirements!$A$5:$A$64,0)),"Unknown requirement"))</f>
        <v>Full card numbers are never stored or displayed in evidence, exports or analytics.</v>
      </c>
      <c r="D23" s="13" t="s">
        <v>273</v>
      </c>
      <c r="E23" s="13" t="s">
        <v>203</v>
      </c>
      <c r="F23" s="13" t="s">
        <v>47</v>
      </c>
      <c r="G23" s="13" t="s">
        <v>41</v>
      </c>
      <c r="H23" s="12" t="s">
        <v>399</v>
      </c>
      <c r="I23" s="12" t="s">
        <v>400</v>
      </c>
      <c r="J23" s="12" t="s">
        <v>401</v>
      </c>
      <c r="K23" s="13" t="s">
        <v>309</v>
      </c>
      <c r="L23" s="13" t="s">
        <v>104</v>
      </c>
      <c r="M23" s="14"/>
      <c r="N23" s="13" t="s">
        <v>41</v>
      </c>
      <c r="O23" s="13"/>
      <c r="P23" s="12"/>
    </row>
    <row r="24" customFormat="false" ht="31.5" hidden="false" customHeight="true" outlineLevel="0" collapsed="false">
      <c r="A24" s="13" t="s">
        <v>402</v>
      </c>
      <c r="B24" s="13" t="s">
        <v>159</v>
      </c>
      <c r="C24" s="31" t="str">
        <f aca="false">IF(B24="","",IFERROR(INDEX(Requirements!$C$5:$C$64,MATCH(B24,Requirements!$A$5:$A$64,0)),"Unknown requirement"))</f>
        <v>Full card numbers are never stored or displayed in evidence, exports or analytics.</v>
      </c>
      <c r="D24" s="13" t="s">
        <v>403</v>
      </c>
      <c r="E24" s="13" t="s">
        <v>203</v>
      </c>
      <c r="F24" s="13" t="s">
        <v>47</v>
      </c>
      <c r="G24" s="13" t="s">
        <v>41</v>
      </c>
      <c r="H24" s="12" t="s">
        <v>404</v>
      </c>
      <c r="I24" s="12" t="s">
        <v>405</v>
      </c>
      <c r="J24" s="12" t="s">
        <v>406</v>
      </c>
      <c r="K24" s="13" t="s">
        <v>309</v>
      </c>
      <c r="L24" s="13" t="s">
        <v>104</v>
      </c>
      <c r="M24" s="14"/>
      <c r="N24" s="13" t="s">
        <v>41</v>
      </c>
      <c r="O24" s="13"/>
      <c r="P24" s="12"/>
    </row>
    <row r="25" customFormat="false" ht="31.5" hidden="false" customHeight="true" outlineLevel="0" collapsed="false">
      <c r="A25" s="13" t="s">
        <v>407</v>
      </c>
      <c r="B25" s="13" t="s">
        <v>159</v>
      </c>
      <c r="C25" s="31" t="str">
        <f aca="false">IF(B25="","",IFERROR(INDEX(Requirements!$C$5:$C$64,MATCH(B25,Requirements!$A$5:$A$64,0)),"Unknown requirement"))</f>
        <v>Full card numbers are never stored or displayed in evidence, exports or analytics.</v>
      </c>
      <c r="D25" s="13" t="s">
        <v>390</v>
      </c>
      <c r="E25" s="13" t="s">
        <v>203</v>
      </c>
      <c r="F25" s="13" t="s">
        <v>47</v>
      </c>
      <c r="G25" s="13" t="s">
        <v>47</v>
      </c>
      <c r="H25" s="12" t="s">
        <v>408</v>
      </c>
      <c r="I25" s="12" t="s">
        <v>409</v>
      </c>
      <c r="J25" s="12" t="s">
        <v>410</v>
      </c>
      <c r="K25" s="13" t="s">
        <v>411</v>
      </c>
      <c r="L25" s="13" t="s">
        <v>104</v>
      </c>
      <c r="M25" s="14"/>
      <c r="N25" s="13" t="s">
        <v>41</v>
      </c>
      <c r="O25" s="13"/>
      <c r="P25" s="12" t="s">
        <v>412</v>
      </c>
    </row>
    <row r="26" customFormat="false" ht="31.5" hidden="false" customHeight="true" outlineLevel="0" collapsed="false">
      <c r="A26" s="13" t="s">
        <v>413</v>
      </c>
      <c r="B26" s="13" t="s">
        <v>167</v>
      </c>
      <c r="C26" s="31" t="str">
        <f aca="false">IF(B26="","",IFERROR(INDEX(Requirements!$C$5:$C$64,MATCH(B26,Requirements!$A$5:$A$64,0)),"Unknown requirement"))</f>
        <v>Merchants can accept a dispute without contesting it.</v>
      </c>
      <c r="D26" s="13" t="s">
        <v>171</v>
      </c>
      <c r="E26" s="13"/>
      <c r="F26" s="13" t="s">
        <v>94</v>
      </c>
      <c r="G26" s="13" t="s">
        <v>41</v>
      </c>
      <c r="H26" s="12" t="s">
        <v>414</v>
      </c>
      <c r="I26" s="12" t="s">
        <v>415</v>
      </c>
      <c r="J26" s="12" t="s">
        <v>416</v>
      </c>
      <c r="K26" s="13" t="s">
        <v>309</v>
      </c>
      <c r="L26" s="13" t="s">
        <v>102</v>
      </c>
      <c r="M26" s="14" t="n">
        <v>46261</v>
      </c>
      <c r="N26" s="13" t="s">
        <v>41</v>
      </c>
      <c r="O26" s="13"/>
      <c r="P26" s="12"/>
    </row>
    <row r="27" customFormat="false" ht="31.5" hidden="false" customHeight="true" outlineLevel="0" collapsed="false">
      <c r="A27" s="13" t="s">
        <v>417</v>
      </c>
      <c r="B27" s="13" t="s">
        <v>167</v>
      </c>
      <c r="C27" s="31" t="str">
        <f aca="false">IF(B27="","",IFERROR(INDEX(Requirements!$C$5:$C$64,MATCH(B27,Requirements!$A$5:$A$64,0)),"Unknown requirement"))</f>
        <v>Merchants can accept a dispute without contesting it.</v>
      </c>
      <c r="D27" s="13" t="s">
        <v>171</v>
      </c>
      <c r="E27" s="13"/>
      <c r="F27" s="13" t="s">
        <v>93</v>
      </c>
      <c r="G27" s="13" t="s">
        <v>41</v>
      </c>
      <c r="H27" s="12" t="s">
        <v>418</v>
      </c>
      <c r="I27" s="12" t="s">
        <v>419</v>
      </c>
      <c r="J27" s="12" t="s">
        <v>420</v>
      </c>
      <c r="K27" s="13" t="s">
        <v>309</v>
      </c>
      <c r="L27" s="13" t="s">
        <v>102</v>
      </c>
      <c r="M27" s="14" t="n">
        <v>46261</v>
      </c>
      <c r="N27" s="13" t="s">
        <v>41</v>
      </c>
      <c r="O27" s="13"/>
      <c r="P27" s="12"/>
    </row>
    <row r="28" customFormat="false" ht="31.5" hidden="false" customHeight="true" outlineLevel="0" collapsed="false">
      <c r="A28" s="13" t="s">
        <v>421</v>
      </c>
      <c r="B28" s="13" t="s">
        <v>172</v>
      </c>
      <c r="C28" s="31" t="str">
        <f aca="false">IF(B28="","",IFERROR(INDEX(Requirements!$C$5:$C$64,MATCH(B28,Requirements!$A$5:$A$64,0)),"Unknown requirement"))</f>
        <v>New disputes are received from the processor automatically without duplicates, and status changes are reflected within 5 minutes.</v>
      </c>
      <c r="D28" s="13" t="s">
        <v>422</v>
      </c>
      <c r="E28" s="13"/>
      <c r="F28" s="13" t="s">
        <v>94</v>
      </c>
      <c r="G28" s="13" t="s">
        <v>41</v>
      </c>
      <c r="H28" s="12" t="s">
        <v>423</v>
      </c>
      <c r="I28" s="12" t="s">
        <v>424</v>
      </c>
      <c r="J28" s="12" t="s">
        <v>425</v>
      </c>
      <c r="K28" s="13" t="s">
        <v>309</v>
      </c>
      <c r="L28" s="13" t="s">
        <v>102</v>
      </c>
      <c r="M28" s="14" t="n">
        <v>46234</v>
      </c>
      <c r="N28" s="13" t="s">
        <v>41</v>
      </c>
      <c r="O28" s="13"/>
      <c r="P28" s="12"/>
    </row>
    <row r="29" customFormat="false" ht="31.5" hidden="false" customHeight="true" outlineLevel="0" collapsed="false">
      <c r="A29" s="13" t="s">
        <v>426</v>
      </c>
      <c r="B29" s="13" t="s">
        <v>172</v>
      </c>
      <c r="C29" s="31" t="str">
        <f aca="false">IF(B29="","",IFERROR(INDEX(Requirements!$C$5:$C$64,MATCH(B29,Requirements!$A$5:$A$64,0)),"Unknown requirement"))</f>
        <v>New disputes are received from the processor automatically without duplicates, and status changes are reflected within 5 minutes.</v>
      </c>
      <c r="D29" s="13" t="s">
        <v>422</v>
      </c>
      <c r="E29" s="13"/>
      <c r="F29" s="13" t="s">
        <v>94</v>
      </c>
      <c r="G29" s="13" t="s">
        <v>41</v>
      </c>
      <c r="H29" s="12" t="s">
        <v>427</v>
      </c>
      <c r="I29" s="12" t="s">
        <v>428</v>
      </c>
      <c r="J29" s="12" t="s">
        <v>429</v>
      </c>
      <c r="K29" s="13" t="s">
        <v>309</v>
      </c>
      <c r="L29" s="13" t="s">
        <v>102</v>
      </c>
      <c r="M29" s="14" t="n">
        <v>46234</v>
      </c>
      <c r="N29" s="13" t="s">
        <v>41</v>
      </c>
      <c r="O29" s="13"/>
      <c r="P29" s="12"/>
    </row>
    <row r="30" customFormat="false" ht="31.5" hidden="false" customHeight="true" outlineLevel="0" collapsed="false">
      <c r="A30" s="13" t="s">
        <v>430</v>
      </c>
      <c r="B30" s="13" t="s">
        <v>172</v>
      </c>
      <c r="C30" s="31" t="str">
        <f aca="false">IF(B30="","",IFERROR(INDEX(Requirements!$C$5:$C$64,MATCH(B30,Requirements!$A$5:$A$64,0)),"Unknown requirement"))</f>
        <v>New disputes are received from the processor automatically without duplicates, and status changes are reflected within 5 minutes.</v>
      </c>
      <c r="D30" s="13" t="s">
        <v>422</v>
      </c>
      <c r="E30" s="13"/>
      <c r="F30" s="13" t="s">
        <v>94</v>
      </c>
      <c r="G30" s="13" t="s">
        <v>41</v>
      </c>
      <c r="H30" s="12" t="s">
        <v>431</v>
      </c>
      <c r="I30" s="12" t="s">
        <v>432</v>
      </c>
      <c r="J30" s="12" t="s">
        <v>433</v>
      </c>
      <c r="K30" s="13" t="s">
        <v>309</v>
      </c>
      <c r="L30" s="13" t="s">
        <v>102</v>
      </c>
      <c r="M30" s="14" t="n">
        <v>46234</v>
      </c>
      <c r="N30" s="13" t="s">
        <v>41</v>
      </c>
      <c r="O30" s="13"/>
      <c r="P30" s="12"/>
    </row>
    <row r="31" customFormat="false" ht="31.5" hidden="false" customHeight="true" outlineLevel="0" collapsed="false">
      <c r="A31" s="13" t="s">
        <v>434</v>
      </c>
      <c r="B31" s="13" t="s">
        <v>172</v>
      </c>
      <c r="C31" s="31" t="str">
        <f aca="false">IF(B31="","",IFERROR(INDEX(Requirements!$C$5:$C$64,MATCH(B31,Requirements!$A$5:$A$64,0)),"Unknown requirement"))</f>
        <v>New disputes are received from the processor automatically without duplicates, and status changes are reflected within 5 minutes.</v>
      </c>
      <c r="D31" s="13" t="s">
        <v>435</v>
      </c>
      <c r="E31" s="13"/>
      <c r="F31" s="13" t="s">
        <v>94</v>
      </c>
      <c r="G31" s="13" t="s">
        <v>41</v>
      </c>
      <c r="H31" s="12" t="s">
        <v>436</v>
      </c>
      <c r="I31" s="12" t="s">
        <v>437</v>
      </c>
      <c r="J31" s="12" t="s">
        <v>438</v>
      </c>
      <c r="K31" s="13" t="s">
        <v>309</v>
      </c>
      <c r="L31" s="13" t="s">
        <v>30</v>
      </c>
      <c r="M31" s="14" t="n">
        <v>46268</v>
      </c>
      <c r="N31" s="13" t="s">
        <v>41</v>
      </c>
      <c r="O31" s="13"/>
      <c r="P31" s="12" t="s">
        <v>439</v>
      </c>
    </row>
    <row r="32" customFormat="false" ht="31.5" hidden="false" customHeight="true" outlineLevel="0" collapsed="false">
      <c r="A32" s="13" t="s">
        <v>440</v>
      </c>
      <c r="B32" s="13" t="s">
        <v>172</v>
      </c>
      <c r="C32" s="31" t="str">
        <f aca="false">IF(B32="","",IFERROR(INDEX(Requirements!$C$5:$C$64,MATCH(B32,Requirements!$A$5:$A$64,0)),"Unknown requirement"))</f>
        <v>New disputes are received from the processor automatically without duplicates, and status changes are reflected within 5 minutes.</v>
      </c>
      <c r="D32" s="13" t="s">
        <v>435</v>
      </c>
      <c r="E32" s="13"/>
      <c r="F32" s="13" t="s">
        <v>47</v>
      </c>
      <c r="G32" s="13" t="s">
        <v>41</v>
      </c>
      <c r="H32" s="12" t="s">
        <v>441</v>
      </c>
      <c r="I32" s="12" t="s">
        <v>442</v>
      </c>
      <c r="J32" s="12" t="s">
        <v>443</v>
      </c>
      <c r="K32" s="13" t="s">
        <v>309</v>
      </c>
      <c r="L32" s="13" t="s">
        <v>104</v>
      </c>
      <c r="M32" s="14"/>
      <c r="N32" s="13" t="s">
        <v>41</v>
      </c>
      <c r="O32" s="13"/>
      <c r="P32" s="12"/>
    </row>
    <row r="33" customFormat="false" ht="31.5" hidden="false" customHeight="true" outlineLevel="0" collapsed="false">
      <c r="A33" s="13" t="s">
        <v>444</v>
      </c>
      <c r="B33" s="13" t="s">
        <v>172</v>
      </c>
      <c r="C33" s="31" t="str">
        <f aca="false">IF(B33="","",IFERROR(INDEX(Requirements!$C$5:$C$64,MATCH(B33,Requirements!$A$5:$A$64,0)),"Unknown requirement"))</f>
        <v>New disputes are received from the processor automatically without duplicates, and status changes are reflected within 5 minutes.</v>
      </c>
      <c r="D33" s="13" t="s">
        <v>445</v>
      </c>
      <c r="E33" s="13"/>
      <c r="F33" s="13" t="s">
        <v>94</v>
      </c>
      <c r="G33" s="13" t="s">
        <v>41</v>
      </c>
      <c r="H33" s="12" t="s">
        <v>446</v>
      </c>
      <c r="I33" s="12" t="s">
        <v>447</v>
      </c>
      <c r="J33" s="12" t="s">
        <v>448</v>
      </c>
      <c r="K33" s="13" t="s">
        <v>309</v>
      </c>
      <c r="L33" s="13" t="s">
        <v>103</v>
      </c>
      <c r="M33" s="14" t="n">
        <v>46274</v>
      </c>
      <c r="N33" s="13" t="s">
        <v>41</v>
      </c>
      <c r="O33" s="13" t="s">
        <v>449</v>
      </c>
      <c r="P33" s="12"/>
    </row>
    <row r="34" customFormat="false" ht="31.5" hidden="false" customHeight="true" outlineLevel="0" collapsed="false">
      <c r="A34" s="13" t="s">
        <v>450</v>
      </c>
      <c r="B34" s="13" t="s">
        <v>172</v>
      </c>
      <c r="C34" s="31" t="str">
        <f aca="false">IF(B34="","",IFERROR(INDEX(Requirements!$C$5:$C$64,MATCH(B34,Requirements!$A$5:$A$64,0)),"Unknown requirement"))</f>
        <v>New disputes are received from the processor automatically without duplicates, and status changes are reflected within 5 minutes.</v>
      </c>
      <c r="D34" s="13" t="s">
        <v>445</v>
      </c>
      <c r="E34" s="13"/>
      <c r="F34" s="13" t="s">
        <v>94</v>
      </c>
      <c r="G34" s="13" t="s">
        <v>41</v>
      </c>
      <c r="H34" s="12" t="s">
        <v>451</v>
      </c>
      <c r="I34" s="12" t="s">
        <v>452</v>
      </c>
      <c r="J34" s="12" t="s">
        <v>453</v>
      </c>
      <c r="K34" s="13" t="s">
        <v>309</v>
      </c>
      <c r="L34" s="13" t="s">
        <v>102</v>
      </c>
      <c r="M34" s="14" t="n">
        <v>46274</v>
      </c>
      <c r="N34" s="13" t="s">
        <v>41</v>
      </c>
      <c r="O34" s="13"/>
      <c r="P34" s="12"/>
    </row>
    <row r="35" customFormat="false" ht="31.5" hidden="false" customHeight="true" outlineLevel="0" collapsed="false">
      <c r="A35" s="13" t="s">
        <v>454</v>
      </c>
      <c r="B35" s="13" t="s">
        <v>179</v>
      </c>
      <c r="C35" s="31" t="str">
        <f aca="false">IF(B35="","",IFERROR(INDEX(Requirements!$C$5:$C$64,MATCH(B35,Requirements!$A$5:$A$64,0)),"Unknown requirement"))</f>
        <v>Dispute reason codes and response windows can be updated without a code release, with a history of each change.</v>
      </c>
      <c r="D35" s="13" t="s">
        <v>455</v>
      </c>
      <c r="E35" s="13" t="s">
        <v>183</v>
      </c>
      <c r="F35" s="13" t="s">
        <v>93</v>
      </c>
      <c r="G35" s="13" t="s">
        <v>41</v>
      </c>
      <c r="H35" s="12" t="s">
        <v>456</v>
      </c>
      <c r="I35" s="12" t="s">
        <v>457</v>
      </c>
      <c r="J35" s="12" t="s">
        <v>458</v>
      </c>
      <c r="K35" s="13" t="s">
        <v>309</v>
      </c>
      <c r="L35" s="13" t="s">
        <v>102</v>
      </c>
      <c r="M35" s="14" t="n">
        <v>46272</v>
      </c>
      <c r="N35" s="13" t="s">
        <v>41</v>
      </c>
      <c r="O35" s="13"/>
      <c r="P35" s="12"/>
    </row>
    <row r="36" customFormat="false" ht="31.5" hidden="false" customHeight="true" outlineLevel="0" collapsed="false">
      <c r="A36" s="13" t="s">
        <v>459</v>
      </c>
      <c r="B36" s="13" t="s">
        <v>179</v>
      </c>
      <c r="C36" s="31" t="str">
        <f aca="false">IF(B36="","",IFERROR(INDEX(Requirements!$C$5:$C$64,MATCH(B36,Requirements!$A$5:$A$64,0)),"Unknown requirement"))</f>
        <v>Dispute reason codes and response windows can be updated without a code release, with a history of each change.</v>
      </c>
      <c r="D36" s="13" t="s">
        <v>455</v>
      </c>
      <c r="E36" s="13" t="s">
        <v>183</v>
      </c>
      <c r="F36" s="13" t="s">
        <v>93</v>
      </c>
      <c r="G36" s="13" t="s">
        <v>41</v>
      </c>
      <c r="H36" s="12" t="s">
        <v>460</v>
      </c>
      <c r="I36" s="12" t="s">
        <v>461</v>
      </c>
      <c r="J36" s="12" t="s">
        <v>462</v>
      </c>
      <c r="K36" s="13" t="s">
        <v>309</v>
      </c>
      <c r="L36" s="13" t="s">
        <v>102</v>
      </c>
      <c r="M36" s="14" t="n">
        <v>46273</v>
      </c>
      <c r="N36" s="13" t="s">
        <v>41</v>
      </c>
      <c r="O36" s="13"/>
      <c r="P36" s="12"/>
    </row>
    <row r="37" customFormat="false" ht="31.5" hidden="false" customHeight="true" outlineLevel="0" collapsed="false">
      <c r="A37" s="13" t="s">
        <v>463</v>
      </c>
      <c r="B37" s="13" t="s">
        <v>179</v>
      </c>
      <c r="C37" s="31" t="str">
        <f aca="false">IF(B37="","",IFERROR(INDEX(Requirements!$C$5:$C$64,MATCH(B37,Requirements!$A$5:$A$64,0)),"Unknown requirement"))</f>
        <v>Dispute reason codes and response windows can be updated without a code release, with a history of each change.</v>
      </c>
      <c r="D37" s="13" t="s">
        <v>464</v>
      </c>
      <c r="E37" s="13" t="s">
        <v>183</v>
      </c>
      <c r="F37" s="13" t="s">
        <v>93</v>
      </c>
      <c r="G37" s="13" t="s">
        <v>41</v>
      </c>
      <c r="H37" s="12" t="s">
        <v>465</v>
      </c>
      <c r="I37" s="12" t="s">
        <v>466</v>
      </c>
      <c r="J37" s="12" t="s">
        <v>467</v>
      </c>
      <c r="K37" s="13" t="s">
        <v>309</v>
      </c>
      <c r="L37" s="13" t="s">
        <v>104</v>
      </c>
      <c r="M37" s="14"/>
      <c r="N37" s="13" t="s">
        <v>41</v>
      </c>
      <c r="O37" s="13"/>
      <c r="P37" s="12"/>
    </row>
    <row r="38" customFormat="false" ht="31.5" hidden="false" customHeight="true" outlineLevel="0" collapsed="false">
      <c r="A38" s="13" t="s">
        <v>468</v>
      </c>
      <c r="B38" s="13" t="s">
        <v>185</v>
      </c>
      <c r="C38" s="31" t="str">
        <f aca="false">IF(B38="","",IFERROR(INDEX(Requirements!$C$5:$C$64,MATCH(B38,Requirements!$A$5:$A$64,0)),"Unknown requirement"))</f>
        <v>Ops are alerted when the processor feed stops updating, and merchants can see when data was last synced.</v>
      </c>
      <c r="D38" s="13" t="s">
        <v>469</v>
      </c>
      <c r="E38" s="13"/>
      <c r="F38" s="13" t="s">
        <v>93</v>
      </c>
      <c r="G38" s="13" t="s">
        <v>41</v>
      </c>
      <c r="H38" s="12" t="s">
        <v>470</v>
      </c>
      <c r="I38" s="12" t="s">
        <v>471</v>
      </c>
      <c r="J38" s="12" t="s">
        <v>472</v>
      </c>
      <c r="K38" s="13" t="s">
        <v>309</v>
      </c>
      <c r="L38" s="13" t="s">
        <v>102</v>
      </c>
      <c r="M38" s="14" t="n">
        <v>46269</v>
      </c>
      <c r="N38" s="13" t="s">
        <v>41</v>
      </c>
      <c r="O38" s="13"/>
      <c r="P38" s="12"/>
    </row>
    <row r="39" customFormat="false" ht="31.5" hidden="false" customHeight="true" outlineLevel="0" collapsed="false">
      <c r="A39" s="13" t="s">
        <v>473</v>
      </c>
      <c r="B39" s="13" t="s">
        <v>185</v>
      </c>
      <c r="C39" s="31" t="str">
        <f aca="false">IF(B39="","",IFERROR(INDEX(Requirements!$C$5:$C$64,MATCH(B39,Requirements!$A$5:$A$64,0)),"Unknown requirement"))</f>
        <v>Ops are alerted when the processor feed stops updating, and merchants can see when data was last synced.</v>
      </c>
      <c r="D39" s="13" t="s">
        <v>469</v>
      </c>
      <c r="E39" s="13"/>
      <c r="F39" s="13" t="s">
        <v>93</v>
      </c>
      <c r="G39" s="13" t="s">
        <v>41</v>
      </c>
      <c r="H39" s="12" t="s">
        <v>474</v>
      </c>
      <c r="I39" s="12" t="s">
        <v>475</v>
      </c>
      <c r="J39" s="12" t="s">
        <v>476</v>
      </c>
      <c r="K39" s="13" t="s">
        <v>309</v>
      </c>
      <c r="L39" s="13" t="s">
        <v>102</v>
      </c>
      <c r="M39" s="14" t="n">
        <v>46269</v>
      </c>
      <c r="N39" s="13" t="s">
        <v>41</v>
      </c>
      <c r="O39" s="13"/>
      <c r="P39" s="12"/>
    </row>
    <row r="40" customFormat="false" ht="31.5" hidden="false" customHeight="true" outlineLevel="0" collapsed="false">
      <c r="A40" s="13" t="s">
        <v>477</v>
      </c>
      <c r="B40" s="13" t="s">
        <v>185</v>
      </c>
      <c r="C40" s="31" t="str">
        <f aca="false">IF(B40="","",IFERROR(INDEX(Requirements!$C$5:$C$64,MATCH(B40,Requirements!$A$5:$A$64,0)),"Unknown requirement"))</f>
        <v>Ops are alerted when the processor feed stops updating, and merchants can see when data was last synced.</v>
      </c>
      <c r="D40" s="13" t="s">
        <v>478</v>
      </c>
      <c r="E40" s="13"/>
      <c r="F40" s="13" t="s">
        <v>94</v>
      </c>
      <c r="G40" s="13" t="s">
        <v>41</v>
      </c>
      <c r="H40" s="12" t="s">
        <v>479</v>
      </c>
      <c r="I40" s="12" t="s">
        <v>480</v>
      </c>
      <c r="J40" s="12" t="s">
        <v>481</v>
      </c>
      <c r="K40" s="13" t="s">
        <v>309</v>
      </c>
      <c r="L40" s="13" t="s">
        <v>104</v>
      </c>
      <c r="M40" s="14"/>
      <c r="N40" s="13" t="s">
        <v>41</v>
      </c>
      <c r="O40" s="13"/>
      <c r="P40" s="12"/>
    </row>
    <row r="41" customFormat="false" ht="31.5" hidden="false" customHeight="true" outlineLevel="0" collapsed="false">
      <c r="A41" s="13" t="s">
        <v>482</v>
      </c>
      <c r="B41" s="13" t="s">
        <v>190</v>
      </c>
      <c r="C41" s="31" t="str">
        <f aca="false">IF(B41="","",IFERROR(INDEX(Requirements!$C$5:$C$64,MATCH(B41,Requirements!$A$5:$A$64,0)),"Unknown requirement"))</f>
        <v>Merchants receive reminders before deadlines and notifications of dispute outcomes, and can opt out of emails.</v>
      </c>
      <c r="D41" s="13" t="s">
        <v>483</v>
      </c>
      <c r="E41" s="13" t="s">
        <v>195</v>
      </c>
      <c r="F41" s="13" t="s">
        <v>93</v>
      </c>
      <c r="G41" s="13" t="s">
        <v>41</v>
      </c>
      <c r="H41" s="12" t="s">
        <v>484</v>
      </c>
      <c r="I41" s="12" t="s">
        <v>485</v>
      </c>
      <c r="J41" s="12" t="s">
        <v>486</v>
      </c>
      <c r="K41" s="13" t="s">
        <v>309</v>
      </c>
      <c r="L41" s="13" t="s">
        <v>104</v>
      </c>
      <c r="M41" s="14"/>
      <c r="N41" s="13" t="s">
        <v>41</v>
      </c>
      <c r="O41" s="13"/>
      <c r="P41" s="12"/>
    </row>
    <row r="42" customFormat="false" ht="31.5" hidden="false" customHeight="true" outlineLevel="0" collapsed="false">
      <c r="A42" s="13" t="s">
        <v>487</v>
      </c>
      <c r="B42" s="13" t="s">
        <v>190</v>
      </c>
      <c r="C42" s="31" t="str">
        <f aca="false">IF(B42="","",IFERROR(INDEX(Requirements!$C$5:$C$64,MATCH(B42,Requirements!$A$5:$A$64,0)),"Unknown requirement"))</f>
        <v>Merchants receive reminders before deadlines and notifications of dispute outcomes, and can opt out of emails.</v>
      </c>
      <c r="D42" s="13" t="s">
        <v>483</v>
      </c>
      <c r="E42" s="13" t="s">
        <v>195</v>
      </c>
      <c r="F42" s="13" t="s">
        <v>93</v>
      </c>
      <c r="G42" s="13" t="s">
        <v>41</v>
      </c>
      <c r="H42" s="12" t="s">
        <v>488</v>
      </c>
      <c r="I42" s="12" t="s">
        <v>489</v>
      </c>
      <c r="J42" s="12" t="s">
        <v>490</v>
      </c>
      <c r="K42" s="13" t="s">
        <v>309</v>
      </c>
      <c r="L42" s="13" t="s">
        <v>104</v>
      </c>
      <c r="M42" s="14"/>
      <c r="N42" s="13" t="s">
        <v>41</v>
      </c>
      <c r="O42" s="13"/>
      <c r="P42" s="12"/>
    </row>
    <row r="43" customFormat="false" ht="31.5" hidden="false" customHeight="true" outlineLevel="0" collapsed="false">
      <c r="A43" s="13" t="s">
        <v>491</v>
      </c>
      <c r="B43" s="13" t="s">
        <v>190</v>
      </c>
      <c r="C43" s="31" t="str">
        <f aca="false">IF(B43="","",IFERROR(INDEX(Requirements!$C$5:$C$64,MATCH(B43,Requirements!$A$5:$A$64,0)),"Unknown requirement"))</f>
        <v>Merchants receive reminders before deadlines and notifications of dispute outcomes, and can opt out of emails.</v>
      </c>
      <c r="D43" s="13" t="s">
        <v>492</v>
      </c>
      <c r="E43" s="13"/>
      <c r="F43" s="13" t="s">
        <v>93</v>
      </c>
      <c r="G43" s="13" t="s">
        <v>41</v>
      </c>
      <c r="H43" s="12" t="s">
        <v>493</v>
      </c>
      <c r="I43" s="12" t="s">
        <v>494</v>
      </c>
      <c r="J43" s="12" t="s">
        <v>495</v>
      </c>
      <c r="K43" s="13" t="s">
        <v>309</v>
      </c>
      <c r="L43" s="13" t="s">
        <v>104</v>
      </c>
      <c r="M43" s="14"/>
      <c r="N43" s="13" t="s">
        <v>41</v>
      </c>
      <c r="O43" s="13"/>
      <c r="P43" s="12"/>
    </row>
    <row r="44" customFormat="false" ht="45" hidden="false" customHeight="true" outlineLevel="0" collapsed="false">
      <c r="A44" s="13" t="s">
        <v>496</v>
      </c>
      <c r="B44" s="13" t="s">
        <v>197</v>
      </c>
      <c r="C44" s="31" t="str">
        <f aca="false">IF(B44="","",IFERROR(INDEX(Requirements!$C$5:$C$64,MATCH(B44,Requirements!$A$5:$A$64,0)),"Unknown requirement"))</f>
        <v>Merchants can view settlements, including chargeback debits and reversals, and export them to CSV.</v>
      </c>
      <c r="D44" s="13" t="s">
        <v>497</v>
      </c>
      <c r="E44" s="13"/>
      <c r="F44" s="13" t="s">
        <v>93</v>
      </c>
      <c r="G44" s="13" t="s">
        <v>41</v>
      </c>
      <c r="H44" s="12" t="s">
        <v>498</v>
      </c>
      <c r="I44" s="12" t="s">
        <v>499</v>
      </c>
      <c r="J44" s="12" t="s">
        <v>500</v>
      </c>
      <c r="K44" s="13" t="s">
        <v>309</v>
      </c>
      <c r="L44" s="13" t="s">
        <v>104</v>
      </c>
      <c r="M44" s="14"/>
      <c r="N44" s="13" t="s">
        <v>41</v>
      </c>
      <c r="O44" s="13"/>
      <c r="P44" s="12"/>
    </row>
    <row r="45" customFormat="false" ht="45" hidden="false" customHeight="true" outlineLevel="0" collapsed="false">
      <c r="A45" s="13" t="s">
        <v>501</v>
      </c>
      <c r="B45" s="13" t="s">
        <v>197</v>
      </c>
      <c r="C45" s="31" t="str">
        <f aca="false">IF(B45="","",IFERROR(INDEX(Requirements!$C$5:$C$64,MATCH(B45,Requirements!$A$5:$A$64,0)),"Unknown requirement"))</f>
        <v>Merchants can view settlements, including chargeback debits and reversals, and export them to CSV.</v>
      </c>
      <c r="D45" s="13" t="s">
        <v>502</v>
      </c>
      <c r="E45" s="13"/>
      <c r="F45" s="13" t="s">
        <v>93</v>
      </c>
      <c r="G45" s="13" t="s">
        <v>41</v>
      </c>
      <c r="H45" s="12" t="s">
        <v>503</v>
      </c>
      <c r="I45" s="12" t="s">
        <v>504</v>
      </c>
      <c r="J45" s="12" t="s">
        <v>505</v>
      </c>
      <c r="K45" s="13" t="s">
        <v>309</v>
      </c>
      <c r="L45" s="13" t="s">
        <v>104</v>
      </c>
      <c r="M45" s="14"/>
      <c r="N45" s="13" t="s">
        <v>41</v>
      </c>
      <c r="O45" s="13"/>
      <c r="P45" s="12"/>
    </row>
    <row r="46" customFormat="false" ht="31.5" hidden="false" customHeight="true" outlineLevel="0" collapsed="false">
      <c r="A46" s="13" t="s">
        <v>506</v>
      </c>
      <c r="B46" s="13" t="s">
        <v>197</v>
      </c>
      <c r="C46" s="31" t="str">
        <f aca="false">IF(B46="","",IFERROR(INDEX(Requirements!$C$5:$C$64,MATCH(B46,Requirements!$A$5:$A$64,0)),"Unknown requirement"))</f>
        <v>Merchants can view settlements, including chargeback debits and reversals, and export them to CSV.</v>
      </c>
      <c r="D46" s="13" t="s">
        <v>403</v>
      </c>
      <c r="E46" s="13"/>
      <c r="F46" s="13" t="s">
        <v>93</v>
      </c>
      <c r="G46" s="13" t="s">
        <v>41</v>
      </c>
      <c r="H46" s="12" t="s">
        <v>507</v>
      </c>
      <c r="I46" s="12" t="s">
        <v>508</v>
      </c>
      <c r="J46" s="12" t="s">
        <v>509</v>
      </c>
      <c r="K46" s="13" t="s">
        <v>309</v>
      </c>
      <c r="L46" s="13" t="s">
        <v>104</v>
      </c>
      <c r="M46" s="14"/>
      <c r="N46" s="13" t="s">
        <v>41</v>
      </c>
      <c r="O46" s="13"/>
      <c r="P46" s="12"/>
    </row>
    <row r="47" customFormat="false" ht="45" hidden="false" customHeight="true" outlineLevel="0" collapsed="false">
      <c r="A47" s="13" t="s">
        <v>510</v>
      </c>
      <c r="B47" s="13" t="s">
        <v>205</v>
      </c>
      <c r="C47" s="31" t="str">
        <f aca="false">IF(B47="","",IFERROR(INDEX(Requirements!$C$5:$C$64,MATCH(B47,Requirements!$A$5:$A$64,0)),"Unknown requirement"))</f>
        <v>Ops and finance report dispute outcomes and win rate using one agreed definition.</v>
      </c>
      <c r="D47" s="13" t="s">
        <v>511</v>
      </c>
      <c r="E47" s="13"/>
      <c r="F47" s="13" t="s">
        <v>93</v>
      </c>
      <c r="G47" s="13" t="s">
        <v>41</v>
      </c>
      <c r="H47" s="12" t="s">
        <v>512</v>
      </c>
      <c r="I47" s="12" t="s">
        <v>513</v>
      </c>
      <c r="J47" s="12" t="s">
        <v>514</v>
      </c>
      <c r="K47" s="13" t="s">
        <v>309</v>
      </c>
      <c r="L47" s="13" t="s">
        <v>104</v>
      </c>
      <c r="M47" s="14"/>
      <c r="N47" s="13" t="s">
        <v>41</v>
      </c>
      <c r="O47" s="13"/>
      <c r="P47" s="12" t="s">
        <v>515</v>
      </c>
    </row>
    <row r="48" customFormat="false" ht="31.5" hidden="false" customHeight="true" outlineLevel="0" collapsed="false">
      <c r="A48" s="13" t="s">
        <v>516</v>
      </c>
      <c r="B48" s="13" t="s">
        <v>205</v>
      </c>
      <c r="C48" s="31" t="str">
        <f aca="false">IF(B48="","",IFERROR(INDEX(Requirements!$C$5:$C$64,MATCH(B48,Requirements!$A$5:$A$64,0)),"Unknown requirement"))</f>
        <v>Ops and finance report dispute outcomes and win rate using one agreed definition.</v>
      </c>
      <c r="D48" s="13" t="s">
        <v>517</v>
      </c>
      <c r="E48" s="13"/>
      <c r="F48" s="13" t="s">
        <v>43</v>
      </c>
      <c r="G48" s="13" t="s">
        <v>43</v>
      </c>
      <c r="H48" s="12" t="s">
        <v>518</v>
      </c>
      <c r="I48" s="12" t="s">
        <v>519</v>
      </c>
      <c r="J48" s="12" t="s">
        <v>520</v>
      </c>
      <c r="K48" s="13" t="s">
        <v>521</v>
      </c>
      <c r="L48" s="13" t="s">
        <v>104</v>
      </c>
      <c r="M48" s="14"/>
      <c r="N48" s="13" t="s">
        <v>43</v>
      </c>
      <c r="O48" s="13"/>
      <c r="P48" s="12"/>
    </row>
    <row r="49" customFormat="false" ht="31.5" hidden="false" customHeight="true" outlineLevel="0" collapsed="false">
      <c r="A49" s="13" t="s">
        <v>522</v>
      </c>
      <c r="B49" s="13" t="s">
        <v>212</v>
      </c>
      <c r="C49" s="31" t="str">
        <f aca="false">IF(B49="","",IFERROR(INDEX(Requirements!$C$5:$C$64,MATCH(B49,Requirements!$A$5:$A$64,0)),"Unknown requirement"))</f>
        <v>Settlement data reconciles to the finance ledger within 0.5% before merchant reports are released.</v>
      </c>
      <c r="D49" s="13" t="s">
        <v>215</v>
      </c>
      <c r="E49" s="13"/>
      <c r="F49" s="13" t="s">
        <v>523</v>
      </c>
      <c r="G49" s="13" t="s">
        <v>41</v>
      </c>
      <c r="H49" s="12" t="s">
        <v>524</v>
      </c>
      <c r="I49" s="12" t="s">
        <v>525</v>
      </c>
      <c r="J49" s="12" t="s">
        <v>526</v>
      </c>
      <c r="K49" s="13" t="s">
        <v>527</v>
      </c>
      <c r="L49" s="13" t="s">
        <v>104</v>
      </c>
      <c r="M49" s="14"/>
      <c r="N49" s="13" t="s">
        <v>41</v>
      </c>
      <c r="O49" s="13"/>
      <c r="P49" s="12"/>
    </row>
    <row r="50" customFormat="false" ht="31.5" hidden="false" customHeight="true" outlineLevel="0" collapsed="false">
      <c r="A50" s="13" t="s">
        <v>528</v>
      </c>
      <c r="B50" s="13" t="s">
        <v>212</v>
      </c>
      <c r="C50" s="31" t="str">
        <f aca="false">IF(B50="","",IFERROR(INDEX(Requirements!$C$5:$C$64,MATCH(B50,Requirements!$A$5:$A$64,0)),"Unknown requirement"))</f>
        <v>Settlement data reconciles to the finance ledger within 0.5% before merchant reports are released.</v>
      </c>
      <c r="D50" s="13" t="s">
        <v>215</v>
      </c>
      <c r="E50" s="13"/>
      <c r="F50" s="13" t="s">
        <v>523</v>
      </c>
      <c r="G50" s="13" t="s">
        <v>41</v>
      </c>
      <c r="H50" s="12" t="s">
        <v>529</v>
      </c>
      <c r="I50" s="12" t="s">
        <v>530</v>
      </c>
      <c r="J50" s="12" t="s">
        <v>531</v>
      </c>
      <c r="K50" s="13" t="s">
        <v>527</v>
      </c>
      <c r="L50" s="13" t="s">
        <v>104</v>
      </c>
      <c r="M50" s="14"/>
      <c r="N50" s="13" t="s">
        <v>41</v>
      </c>
      <c r="O50" s="13"/>
      <c r="P50" s="12"/>
    </row>
    <row r="51" customFormat="false" ht="31.5" hidden="false" customHeight="true" outlineLevel="0" collapsed="false">
      <c r="A51" s="13" t="s">
        <v>532</v>
      </c>
      <c r="B51" s="13" t="s">
        <v>218</v>
      </c>
      <c r="C51" s="31" t="str">
        <f aca="false">IF(B51="","",IFERROR(INDEX(Requirements!$C$5:$C$64,MATCH(B51,Requirements!$A$5:$A$64,0)),"Unknown requirement"))</f>
        <v>All evidence actions are recorded in an audit history that users can't edit.</v>
      </c>
      <c r="D51" s="13" t="s">
        <v>221</v>
      </c>
      <c r="E51" s="13" t="s">
        <v>222</v>
      </c>
      <c r="F51" s="13" t="s">
        <v>47</v>
      </c>
      <c r="G51" s="13" t="s">
        <v>41</v>
      </c>
      <c r="H51" s="12" t="s">
        <v>533</v>
      </c>
      <c r="I51" s="12" t="s">
        <v>534</v>
      </c>
      <c r="J51" s="12" t="s">
        <v>535</v>
      </c>
      <c r="K51" s="13" t="s">
        <v>309</v>
      </c>
      <c r="L51" s="13" t="s">
        <v>104</v>
      </c>
      <c r="M51" s="14"/>
      <c r="N51" s="13" t="s">
        <v>41</v>
      </c>
      <c r="O51" s="13"/>
      <c r="P51" s="12"/>
    </row>
    <row r="52" customFormat="false" ht="31.5" hidden="false" customHeight="true" outlineLevel="0" collapsed="false">
      <c r="A52" s="13" t="s">
        <v>536</v>
      </c>
      <c r="B52" s="13" t="s">
        <v>218</v>
      </c>
      <c r="C52" s="31" t="str">
        <f aca="false">IF(B52="","",IFERROR(INDEX(Requirements!$C$5:$C$64,MATCH(B52,Requirements!$A$5:$A$64,0)),"Unknown requirement"))</f>
        <v>All evidence actions are recorded in an audit history that users can't edit.</v>
      </c>
      <c r="D52" s="13" t="s">
        <v>221</v>
      </c>
      <c r="E52" s="13" t="s">
        <v>222</v>
      </c>
      <c r="F52" s="13" t="s">
        <v>47</v>
      </c>
      <c r="G52" s="13" t="s">
        <v>41</v>
      </c>
      <c r="H52" s="12" t="s">
        <v>537</v>
      </c>
      <c r="I52" s="12" t="s">
        <v>538</v>
      </c>
      <c r="J52" s="12" t="s">
        <v>539</v>
      </c>
      <c r="K52" s="13" t="s">
        <v>309</v>
      </c>
      <c r="L52" s="13" t="s">
        <v>104</v>
      </c>
      <c r="M52" s="14"/>
      <c r="N52" s="13" t="s">
        <v>41</v>
      </c>
      <c r="O52" s="13"/>
      <c r="P52" s="12"/>
    </row>
    <row r="53" customFormat="false" ht="31.5" hidden="false" customHeight="true" outlineLevel="0" collapsed="false">
      <c r="A53" s="13" t="s">
        <v>540</v>
      </c>
      <c r="B53" s="13" t="s">
        <v>224</v>
      </c>
      <c r="C53" s="31" t="str">
        <f aca="false">IF(B53="","",IFERROR(INDEX(Requirements!$C$5:$C$64,MATCH(B53,Requirements!$A$5:$A$64,0)),"Unknown requirement"))</f>
        <v>Evidence files are encrypted at rest and in transit.</v>
      </c>
      <c r="D53" s="13" t="s">
        <v>228</v>
      </c>
      <c r="E53" s="13" t="s">
        <v>229</v>
      </c>
      <c r="F53" s="13" t="s">
        <v>47</v>
      </c>
      <c r="G53" s="13" t="s">
        <v>41</v>
      </c>
      <c r="H53" s="12" t="s">
        <v>541</v>
      </c>
      <c r="I53" s="12" t="s">
        <v>542</v>
      </c>
      <c r="J53" s="12" t="s">
        <v>543</v>
      </c>
      <c r="K53" s="13" t="s">
        <v>411</v>
      </c>
      <c r="L53" s="13" t="s">
        <v>104</v>
      </c>
      <c r="M53" s="14"/>
      <c r="N53" s="13" t="s">
        <v>41</v>
      </c>
      <c r="O53" s="13"/>
      <c r="P53" s="12"/>
    </row>
    <row r="54" customFormat="false" ht="31.5" hidden="false" customHeight="true" outlineLevel="0" collapsed="false">
      <c r="A54" s="13" t="s">
        <v>544</v>
      </c>
      <c r="B54" s="13" t="s">
        <v>224</v>
      </c>
      <c r="C54" s="31" t="str">
        <f aca="false">IF(B54="","",IFERROR(INDEX(Requirements!$C$5:$C$64,MATCH(B54,Requirements!$A$5:$A$64,0)),"Unknown requirement"))</f>
        <v>Evidence files are encrypted at rest and in transit.</v>
      </c>
      <c r="D54" s="13" t="s">
        <v>228</v>
      </c>
      <c r="E54" s="13" t="s">
        <v>229</v>
      </c>
      <c r="F54" s="13" t="s">
        <v>47</v>
      </c>
      <c r="G54" s="13" t="s">
        <v>41</v>
      </c>
      <c r="H54" s="12" t="s">
        <v>545</v>
      </c>
      <c r="I54" s="12" t="s">
        <v>546</v>
      </c>
      <c r="J54" s="12" t="s">
        <v>547</v>
      </c>
      <c r="K54" s="13" t="s">
        <v>411</v>
      </c>
      <c r="L54" s="13" t="s">
        <v>104</v>
      </c>
      <c r="M54" s="14"/>
      <c r="N54" s="13" t="s">
        <v>41</v>
      </c>
      <c r="O54" s="13"/>
      <c r="P54" s="12"/>
    </row>
    <row r="55" customFormat="false" ht="31.5" hidden="false" customHeight="true" outlineLevel="0" collapsed="false">
      <c r="A55" s="13" t="s">
        <v>548</v>
      </c>
      <c r="B55" s="13" t="s">
        <v>232</v>
      </c>
      <c r="C55" s="31" t="str">
        <f aca="false">IF(B55="","",IFERROR(INDEX(Requirements!$C$5:$C$64,MATCH(B55,Requirements!$A$5:$A$64,0)),"Unknown requirement"))</f>
        <v>Merchant portal screens meet WCAG 2.1 AA.</v>
      </c>
      <c r="D55" s="13" t="s">
        <v>236</v>
      </c>
      <c r="E55" s="13" t="s">
        <v>237</v>
      </c>
      <c r="F55" s="13" t="s">
        <v>549</v>
      </c>
      <c r="G55" s="13" t="s">
        <v>45</v>
      </c>
      <c r="H55" s="12" t="s">
        <v>550</v>
      </c>
      <c r="I55" s="12" t="s">
        <v>551</v>
      </c>
      <c r="J55" s="12" t="s">
        <v>552</v>
      </c>
      <c r="K55" s="13" t="s">
        <v>553</v>
      </c>
      <c r="L55" s="13" t="s">
        <v>104</v>
      </c>
      <c r="M55" s="14"/>
      <c r="N55" s="13" t="s">
        <v>43</v>
      </c>
      <c r="O55" s="13"/>
      <c r="P55" s="12"/>
    </row>
    <row r="56" customFormat="false" ht="31.5" hidden="false" customHeight="true" outlineLevel="0" collapsed="false">
      <c r="A56" s="13" t="s">
        <v>554</v>
      </c>
      <c r="B56" s="13" t="s">
        <v>232</v>
      </c>
      <c r="C56" s="31" t="str">
        <f aca="false">IF(B56="","",IFERROR(INDEX(Requirements!$C$5:$C$64,MATCH(B56,Requirements!$A$5:$A$64,0)),"Unknown requirement"))</f>
        <v>Merchant portal screens meet WCAG 2.1 AA.</v>
      </c>
      <c r="D56" s="13" t="s">
        <v>236</v>
      </c>
      <c r="E56" s="13" t="s">
        <v>237</v>
      </c>
      <c r="F56" s="13" t="s">
        <v>549</v>
      </c>
      <c r="G56" s="13" t="s">
        <v>45</v>
      </c>
      <c r="H56" s="12" t="s">
        <v>555</v>
      </c>
      <c r="I56" s="12" t="s">
        <v>556</v>
      </c>
      <c r="J56" s="12" t="s">
        <v>557</v>
      </c>
      <c r="K56" s="13" t="s">
        <v>553</v>
      </c>
      <c r="L56" s="13" t="s">
        <v>104</v>
      </c>
      <c r="M56" s="14"/>
      <c r="N56" s="13" t="s">
        <v>43</v>
      </c>
      <c r="O56" s="13"/>
      <c r="P56" s="12"/>
    </row>
    <row r="57" customFormat="false" ht="31.5" hidden="false" customHeight="true" outlineLevel="0" collapsed="false">
      <c r="A57" s="13" t="s">
        <v>558</v>
      </c>
      <c r="B57" s="13" t="s">
        <v>239</v>
      </c>
      <c r="C57" s="31" t="str">
        <f aca="false">IF(B57="","",IFERROR(INDEX(Requirements!$C$5:$C$64,MATCH(B57,Requirements!$A$5:$A$64,0)),"Unknown requirement"))</f>
        <v>95th percentile API response stays under 2 seconds at 3x forecast peak volume.</v>
      </c>
      <c r="D57" s="13" t="s">
        <v>242</v>
      </c>
      <c r="E57" s="13"/>
      <c r="F57" s="13" t="s">
        <v>559</v>
      </c>
      <c r="G57" s="13" t="s">
        <v>45</v>
      </c>
      <c r="H57" s="12" t="s">
        <v>560</v>
      </c>
      <c r="I57" s="12" t="s">
        <v>561</v>
      </c>
      <c r="J57" s="12" t="s">
        <v>562</v>
      </c>
      <c r="K57" s="13" t="s">
        <v>563</v>
      </c>
      <c r="L57" s="13" t="s">
        <v>104</v>
      </c>
      <c r="M57" s="14"/>
      <c r="N57" s="13" t="s">
        <v>564</v>
      </c>
      <c r="O57" s="13"/>
      <c r="P57" s="12"/>
    </row>
    <row r="58" customFormat="false" ht="31.5" hidden="false" customHeight="true" outlineLevel="0" collapsed="false">
      <c r="A58" s="13" t="s">
        <v>565</v>
      </c>
      <c r="B58" s="13" t="s">
        <v>244</v>
      </c>
      <c r="C58" s="31" t="str">
        <f aca="false">IF(B58="","",IFERROR(INDEX(Requirements!$C$5:$C$64,MATCH(B58,Requirements!$A$5:$A$64,0)),"Unknown requirement"))</f>
        <v>Critical and high penetration test findings are fixed and retested before go-live.</v>
      </c>
      <c r="D58" s="13" t="s">
        <v>247</v>
      </c>
      <c r="E58" s="13" t="s">
        <v>248</v>
      </c>
      <c r="F58" s="13" t="s">
        <v>47</v>
      </c>
      <c r="G58" s="13" t="s">
        <v>47</v>
      </c>
      <c r="H58" s="12" t="s">
        <v>566</v>
      </c>
      <c r="I58" s="12" t="s">
        <v>567</v>
      </c>
      <c r="J58" s="12" t="s">
        <v>568</v>
      </c>
      <c r="K58" s="13" t="s">
        <v>411</v>
      </c>
      <c r="L58" s="13" t="s">
        <v>104</v>
      </c>
      <c r="M58" s="14"/>
      <c r="N58" s="13" t="s">
        <v>43</v>
      </c>
      <c r="O58" s="13"/>
      <c r="P58" s="12" t="s">
        <v>569</v>
      </c>
    </row>
    <row r="59" customFormat="false" ht="31.5" hidden="false" customHeight="true" outlineLevel="0" collapsed="false">
      <c r="A59" s="13" t="s">
        <v>570</v>
      </c>
      <c r="B59" s="13" t="s">
        <v>250</v>
      </c>
      <c r="C59" s="31" t="str">
        <f aca="false">IF(B59="","",IFERROR(INDEX(Requirements!$C$5:$C$64,MATCH(B59,Requirements!$A$5:$A$64,0)),"Unknown requirement"))</f>
        <v>Dispute ops work disputes from a prioritized queue, including disputes with unmapped reason codes.</v>
      </c>
      <c r="D59" s="13" t="s">
        <v>571</v>
      </c>
      <c r="E59" s="13"/>
      <c r="F59" s="13" t="s">
        <v>93</v>
      </c>
      <c r="G59" s="13" t="s">
        <v>41</v>
      </c>
      <c r="H59" s="12" t="s">
        <v>572</v>
      </c>
      <c r="I59" s="12" t="s">
        <v>573</v>
      </c>
      <c r="J59" s="12" t="s">
        <v>574</v>
      </c>
      <c r="K59" s="13" t="s">
        <v>309</v>
      </c>
      <c r="L59" s="13" t="s">
        <v>102</v>
      </c>
      <c r="M59" s="14" t="n">
        <v>46247</v>
      </c>
      <c r="N59" s="13" t="s">
        <v>41</v>
      </c>
      <c r="O59" s="13"/>
      <c r="P59" s="12"/>
    </row>
    <row r="60" customFormat="false" ht="31.5" hidden="false" customHeight="true" outlineLevel="0" collapsed="false">
      <c r="A60" s="13" t="s">
        <v>575</v>
      </c>
      <c r="B60" s="13" t="s">
        <v>250</v>
      </c>
      <c r="C60" s="31" t="str">
        <f aca="false">IF(B60="","",IFERROR(INDEX(Requirements!$C$5:$C$64,MATCH(B60,Requirements!$A$5:$A$64,0)),"Unknown requirement"))</f>
        <v>Dispute ops work disputes from a prioritized queue, including disputes with unmapped reason codes.</v>
      </c>
      <c r="D60" s="13" t="s">
        <v>571</v>
      </c>
      <c r="E60" s="13"/>
      <c r="F60" s="13" t="s">
        <v>93</v>
      </c>
      <c r="G60" s="13" t="s">
        <v>41</v>
      </c>
      <c r="H60" s="12" t="s">
        <v>576</v>
      </c>
      <c r="I60" s="12" t="s">
        <v>577</v>
      </c>
      <c r="J60" s="12" t="s">
        <v>578</v>
      </c>
      <c r="K60" s="13" t="s">
        <v>309</v>
      </c>
      <c r="L60" s="13" t="s">
        <v>102</v>
      </c>
      <c r="M60" s="14" t="n">
        <v>46247</v>
      </c>
      <c r="N60" s="13" t="s">
        <v>41</v>
      </c>
      <c r="O60" s="13"/>
      <c r="P60" s="12"/>
    </row>
    <row r="61" customFormat="false" ht="45" hidden="false" customHeight="true" outlineLevel="0" collapsed="false">
      <c r="A61" s="13" t="s">
        <v>579</v>
      </c>
      <c r="B61" s="13" t="s">
        <v>250</v>
      </c>
      <c r="C61" s="31" t="str">
        <f aca="false">IF(B61="","",IFERROR(INDEX(Requirements!$C$5:$C$64,MATCH(B61,Requirements!$A$5:$A$64,0)),"Unknown requirement"))</f>
        <v>Dispute ops work disputes from a prioritized queue, including disputes with unmapped reason codes.</v>
      </c>
      <c r="D61" s="13" t="s">
        <v>464</v>
      </c>
      <c r="E61" s="13"/>
      <c r="F61" s="13" t="s">
        <v>93</v>
      </c>
      <c r="G61" s="13" t="s">
        <v>41</v>
      </c>
      <c r="H61" s="12" t="s">
        <v>580</v>
      </c>
      <c r="I61" s="12" t="s">
        <v>581</v>
      </c>
      <c r="J61" s="12" t="s">
        <v>582</v>
      </c>
      <c r="K61" s="13" t="s">
        <v>309</v>
      </c>
      <c r="L61" s="13" t="s">
        <v>104</v>
      </c>
      <c r="M61" s="14"/>
      <c r="N61" s="13" t="s">
        <v>41</v>
      </c>
      <c r="O61" s="13"/>
      <c r="P61" s="12"/>
    </row>
    <row r="62" customFormat="false" ht="31.5" hidden="false" customHeight="true" outlineLevel="0" collapsed="false">
      <c r="A62" s="13" t="s">
        <v>583</v>
      </c>
      <c r="B62" s="13" t="s">
        <v>256</v>
      </c>
      <c r="C62" s="31" t="str">
        <f aca="false">IF(B62="","",IFERROR(INDEX(Requirements!$C$5:$C$64,MATCH(B62,Requirements!$A$5:$A$64,0)),"Unknown requirement"))</f>
        <v>Servicing agents can retrieve a merchant's dispute status through an API for their agent console.</v>
      </c>
      <c r="D62" s="13" t="s">
        <v>259</v>
      </c>
      <c r="E62" s="13"/>
      <c r="F62" s="13" t="s">
        <v>94</v>
      </c>
      <c r="G62" s="13" t="s">
        <v>41</v>
      </c>
      <c r="H62" s="12" t="s">
        <v>584</v>
      </c>
      <c r="I62" s="12" t="s">
        <v>585</v>
      </c>
      <c r="J62" s="12" t="s">
        <v>586</v>
      </c>
      <c r="K62" s="13" t="s">
        <v>309</v>
      </c>
      <c r="L62" s="13" t="s">
        <v>104</v>
      </c>
      <c r="M62" s="14"/>
      <c r="N62" s="13" t="s">
        <v>41</v>
      </c>
      <c r="O62" s="13"/>
      <c r="P62" s="12"/>
    </row>
    <row r="63" customFormat="false" ht="31.5" hidden="false" customHeight="true" outlineLevel="0" collapsed="false">
      <c r="A63" s="13" t="s">
        <v>587</v>
      </c>
      <c r="B63" s="13" t="s">
        <v>256</v>
      </c>
      <c r="C63" s="31" t="str">
        <f aca="false">IF(B63="","",IFERROR(INDEX(Requirements!$C$5:$C$64,MATCH(B63,Requirements!$A$5:$A$64,0)),"Unknown requirement"))</f>
        <v>Servicing agents can retrieve a merchant's dispute status through an API for their agent console.</v>
      </c>
      <c r="D63" s="13" t="s">
        <v>259</v>
      </c>
      <c r="E63" s="13" t="s">
        <v>150</v>
      </c>
      <c r="F63" s="13" t="s">
        <v>47</v>
      </c>
      <c r="G63" s="13" t="s">
        <v>41</v>
      </c>
      <c r="H63" s="12" t="s">
        <v>588</v>
      </c>
      <c r="I63" s="12" t="s">
        <v>589</v>
      </c>
      <c r="J63" s="12" t="s">
        <v>590</v>
      </c>
      <c r="K63" s="13" t="s">
        <v>309</v>
      </c>
      <c r="L63" s="13" t="s">
        <v>104</v>
      </c>
      <c r="M63" s="14"/>
      <c r="N63" s="13" t="s">
        <v>41</v>
      </c>
      <c r="O63" s="13"/>
      <c r="P63" s="12"/>
    </row>
    <row r="64" customFormat="false" ht="31.5" hidden="false" customHeight="true" outlineLevel="0" collapsed="false">
      <c r="A64" s="13" t="s">
        <v>591</v>
      </c>
      <c r="B64" s="13" t="s">
        <v>261</v>
      </c>
      <c r="C64" s="31" t="str">
        <f aca="false">IF(B64="","",IFERROR(INDEX(Requirements!$C$5:$C$64,MATCH(B64,Requirements!$A$5:$A$64,0)),"Unknown requirement"))</f>
        <v>Product team can measure pilot adoption without collecting personal or card data.</v>
      </c>
      <c r="D64" s="13" t="s">
        <v>592</v>
      </c>
      <c r="E64" s="13" t="s">
        <v>195</v>
      </c>
      <c r="F64" s="13" t="s">
        <v>93</v>
      </c>
      <c r="G64" s="13" t="s">
        <v>41</v>
      </c>
      <c r="H64" s="12" t="s">
        <v>593</v>
      </c>
      <c r="I64" s="12" t="s">
        <v>594</v>
      </c>
      <c r="J64" s="12" t="s">
        <v>595</v>
      </c>
      <c r="K64" s="13" t="s">
        <v>309</v>
      </c>
      <c r="L64" s="13" t="s">
        <v>30</v>
      </c>
      <c r="M64" s="14"/>
      <c r="N64" s="13" t="s">
        <v>41</v>
      </c>
      <c r="O64" s="13"/>
      <c r="P64" s="12" t="s">
        <v>596</v>
      </c>
    </row>
    <row r="65" customFormat="false" ht="31.5" hidden="false" customHeight="true" outlineLevel="0" collapsed="false">
      <c r="A65" s="13" t="s">
        <v>597</v>
      </c>
      <c r="B65" s="13" t="s">
        <v>266</v>
      </c>
      <c r="C65" s="31" t="str">
        <f aca="false">IF(B65="","",IFERROR(INDEX(Requirements!$C$5:$C$64,MATCH(B65,Requirements!$A$5:$A$64,0)),"Unknown requirement"))</f>
        <v>Dispute reasons are shown in plain language with suggested evidence types.</v>
      </c>
      <c r="D65" s="13" t="s">
        <v>269</v>
      </c>
      <c r="E65" s="13" t="s">
        <v>183</v>
      </c>
      <c r="F65" s="13" t="s">
        <v>93</v>
      </c>
      <c r="G65" s="13" t="s">
        <v>41</v>
      </c>
      <c r="H65" s="12" t="s">
        <v>598</v>
      </c>
      <c r="I65" s="12" t="s">
        <v>599</v>
      </c>
      <c r="J65" s="12" t="s">
        <v>600</v>
      </c>
      <c r="K65" s="13" t="s">
        <v>309</v>
      </c>
      <c r="L65" s="13" t="s">
        <v>102</v>
      </c>
      <c r="M65" s="14" t="n">
        <v>46247</v>
      </c>
      <c r="N65" s="13" t="s">
        <v>41</v>
      </c>
      <c r="O65" s="13"/>
      <c r="P65" s="12"/>
    </row>
    <row r="66" customFormat="false" ht="31.5" hidden="false" customHeight="true" outlineLevel="0" collapsed="false">
      <c r="A66" s="13" t="s">
        <v>601</v>
      </c>
      <c r="B66" s="13" t="s">
        <v>266</v>
      </c>
      <c r="C66" s="31" t="str">
        <f aca="false">IF(B66="","",IFERROR(INDEX(Requirements!$C$5:$C$64,MATCH(B66,Requirements!$A$5:$A$64,0)),"Unknown requirement"))</f>
        <v>Dispute reasons are shown in plain language with suggested evidence types.</v>
      </c>
      <c r="D66" s="13" t="s">
        <v>269</v>
      </c>
      <c r="E66" s="13" t="s">
        <v>183</v>
      </c>
      <c r="F66" s="13" t="s">
        <v>93</v>
      </c>
      <c r="G66" s="13" t="s">
        <v>41</v>
      </c>
      <c r="H66" s="12" t="s">
        <v>602</v>
      </c>
      <c r="I66" s="12" t="s">
        <v>603</v>
      </c>
      <c r="J66" s="12" t="s">
        <v>604</v>
      </c>
      <c r="K66" s="13" t="s">
        <v>309</v>
      </c>
      <c r="L66" s="13" t="s">
        <v>102</v>
      </c>
      <c r="M66" s="14" t="n">
        <v>46247</v>
      </c>
      <c r="N66" s="13" t="s">
        <v>41</v>
      </c>
      <c r="O66" s="13"/>
      <c r="P66" s="12"/>
    </row>
    <row r="67" customFormat="false" ht="19.5" hidden="false" customHeight="true" outlineLevel="0" collapsed="false">
      <c r="A67" s="13"/>
      <c r="B67" s="13"/>
      <c r="C67" s="31" t="str">
        <f aca="false">IF(B67="","",IFERROR(INDEX(Requirements!$C$5:$C$64,MATCH(B67,Requirements!$A$5:$A$64,0)),"Unknown requirement"))</f>
        <v/>
      </c>
      <c r="D67" s="13"/>
      <c r="E67" s="13"/>
      <c r="F67" s="13"/>
      <c r="G67" s="13"/>
      <c r="H67" s="12"/>
      <c r="I67" s="12"/>
      <c r="J67" s="12"/>
      <c r="K67" s="13"/>
      <c r="L67" s="13"/>
      <c r="M67" s="14"/>
      <c r="N67" s="13"/>
      <c r="O67" s="13"/>
      <c r="P67" s="12"/>
    </row>
    <row r="68" customFormat="false" ht="19.5" hidden="false" customHeight="true" outlineLevel="0" collapsed="false">
      <c r="A68" s="13"/>
      <c r="B68" s="13"/>
      <c r="C68" s="31" t="str">
        <f aca="false">IF(B68="","",IFERROR(INDEX(Requirements!$C$5:$C$64,MATCH(B68,Requirements!$A$5:$A$64,0)),"Unknown requirement"))</f>
        <v/>
      </c>
      <c r="D68" s="13"/>
      <c r="E68" s="13"/>
      <c r="F68" s="13"/>
      <c r="G68" s="13"/>
      <c r="H68" s="12"/>
      <c r="I68" s="12"/>
      <c r="J68" s="12"/>
      <c r="K68" s="13"/>
      <c r="L68" s="13"/>
      <c r="M68" s="14"/>
      <c r="N68" s="13"/>
      <c r="O68" s="13"/>
      <c r="P68" s="12"/>
    </row>
    <row r="69" customFormat="false" ht="19.5" hidden="false" customHeight="true" outlineLevel="0" collapsed="false">
      <c r="A69" s="13"/>
      <c r="B69" s="13"/>
      <c r="C69" s="31" t="str">
        <f aca="false">IF(B69="","",IFERROR(INDEX(Requirements!$C$5:$C$64,MATCH(B69,Requirements!$A$5:$A$64,0)),"Unknown requirement"))</f>
        <v/>
      </c>
      <c r="D69" s="13"/>
      <c r="E69" s="13"/>
      <c r="F69" s="13"/>
      <c r="G69" s="13"/>
      <c r="H69" s="12"/>
      <c r="I69" s="12"/>
      <c r="J69" s="12"/>
      <c r="K69" s="13"/>
      <c r="L69" s="13"/>
      <c r="M69" s="14"/>
      <c r="N69" s="13"/>
      <c r="O69" s="13"/>
      <c r="P69" s="12"/>
    </row>
    <row r="70" customFormat="false" ht="19.5" hidden="false" customHeight="true" outlineLevel="0" collapsed="false">
      <c r="A70" s="13"/>
      <c r="B70" s="13"/>
      <c r="C70" s="31" t="str">
        <f aca="false">IF(B70="","",IFERROR(INDEX(Requirements!$C$5:$C$64,MATCH(B70,Requirements!$A$5:$A$64,0)),"Unknown requirement"))</f>
        <v/>
      </c>
      <c r="D70" s="13"/>
      <c r="E70" s="13"/>
      <c r="F70" s="13"/>
      <c r="G70" s="13"/>
      <c r="H70" s="12"/>
      <c r="I70" s="12"/>
      <c r="J70" s="12"/>
      <c r="K70" s="13"/>
      <c r="L70" s="13"/>
      <c r="M70" s="14"/>
      <c r="N70" s="13"/>
      <c r="O70" s="13"/>
      <c r="P70" s="12"/>
    </row>
    <row r="71" customFormat="false" ht="19.5" hidden="false" customHeight="true" outlineLevel="0" collapsed="false">
      <c r="A71" s="13"/>
      <c r="B71" s="13"/>
      <c r="C71" s="31" t="str">
        <f aca="false">IF(B71="","",IFERROR(INDEX(Requirements!$C$5:$C$64,MATCH(B71,Requirements!$A$5:$A$64,0)),"Unknown requirement"))</f>
        <v/>
      </c>
      <c r="D71" s="13"/>
      <c r="E71" s="13"/>
      <c r="F71" s="13"/>
      <c r="G71" s="13"/>
      <c r="H71" s="12"/>
      <c r="I71" s="12"/>
      <c r="J71" s="12"/>
      <c r="K71" s="13"/>
      <c r="L71" s="13"/>
      <c r="M71" s="14"/>
      <c r="N71" s="13"/>
      <c r="O71" s="13"/>
      <c r="P71" s="12"/>
    </row>
    <row r="72" customFormat="false" ht="19.5" hidden="false" customHeight="true" outlineLevel="0" collapsed="false">
      <c r="A72" s="13"/>
      <c r="B72" s="13"/>
      <c r="C72" s="31" t="str">
        <f aca="false">IF(B72="","",IFERROR(INDEX(Requirements!$C$5:$C$64,MATCH(B72,Requirements!$A$5:$A$64,0)),"Unknown requirement"))</f>
        <v/>
      </c>
      <c r="D72" s="13"/>
      <c r="E72" s="13"/>
      <c r="F72" s="13"/>
      <c r="G72" s="13"/>
      <c r="H72" s="12"/>
      <c r="I72" s="12"/>
      <c r="J72" s="12"/>
      <c r="K72" s="13"/>
      <c r="L72" s="13"/>
      <c r="M72" s="14"/>
      <c r="N72" s="13"/>
      <c r="O72" s="13"/>
      <c r="P72" s="12"/>
    </row>
    <row r="73" customFormat="false" ht="19.5" hidden="false" customHeight="true" outlineLevel="0" collapsed="false">
      <c r="A73" s="13"/>
      <c r="B73" s="13"/>
      <c r="C73" s="31" t="str">
        <f aca="false">IF(B73="","",IFERROR(INDEX(Requirements!$C$5:$C$64,MATCH(B73,Requirements!$A$5:$A$64,0)),"Unknown requirement"))</f>
        <v/>
      </c>
      <c r="D73" s="13"/>
      <c r="E73" s="13"/>
      <c r="F73" s="13"/>
      <c r="G73" s="13"/>
      <c r="H73" s="12"/>
      <c r="I73" s="12"/>
      <c r="J73" s="12"/>
      <c r="K73" s="13"/>
      <c r="L73" s="13"/>
      <c r="M73" s="14"/>
      <c r="N73" s="13"/>
      <c r="O73" s="13"/>
      <c r="P73" s="12"/>
    </row>
    <row r="74" customFormat="false" ht="19.5" hidden="false" customHeight="true" outlineLevel="0" collapsed="false">
      <c r="A74" s="13"/>
      <c r="B74" s="13"/>
      <c r="C74" s="31" t="str">
        <f aca="false">IF(B74="","",IFERROR(INDEX(Requirements!$C$5:$C$64,MATCH(B74,Requirements!$A$5:$A$64,0)),"Unknown requirement"))</f>
        <v/>
      </c>
      <c r="D74" s="13"/>
      <c r="E74" s="13"/>
      <c r="F74" s="13"/>
      <c r="G74" s="13"/>
      <c r="H74" s="12"/>
      <c r="I74" s="12"/>
      <c r="J74" s="12"/>
      <c r="K74" s="13"/>
      <c r="L74" s="13"/>
      <c r="M74" s="14"/>
      <c r="N74" s="13"/>
      <c r="O74" s="13"/>
      <c r="P74" s="12"/>
    </row>
    <row r="75" customFormat="false" ht="19.5" hidden="false" customHeight="true" outlineLevel="0" collapsed="false">
      <c r="A75" s="13"/>
      <c r="B75" s="13"/>
      <c r="C75" s="31" t="str">
        <f aca="false">IF(B75="","",IFERROR(INDEX(Requirements!$C$5:$C$64,MATCH(B75,Requirements!$A$5:$A$64,0)),"Unknown requirement"))</f>
        <v/>
      </c>
      <c r="D75" s="13"/>
      <c r="E75" s="13"/>
      <c r="F75" s="13"/>
      <c r="G75" s="13"/>
      <c r="H75" s="12"/>
      <c r="I75" s="12"/>
      <c r="J75" s="12"/>
      <c r="K75" s="13"/>
      <c r="L75" s="13"/>
      <c r="M75" s="14"/>
      <c r="N75" s="13"/>
      <c r="O75" s="13"/>
      <c r="P75" s="12"/>
    </row>
    <row r="76" customFormat="false" ht="19.5" hidden="false" customHeight="true" outlineLevel="0" collapsed="false">
      <c r="A76" s="13"/>
      <c r="B76" s="13"/>
      <c r="C76" s="31" t="str">
        <f aca="false">IF(B76="","",IFERROR(INDEX(Requirements!$C$5:$C$64,MATCH(B76,Requirements!$A$5:$A$64,0)),"Unknown requirement"))</f>
        <v/>
      </c>
      <c r="D76" s="13"/>
      <c r="E76" s="13"/>
      <c r="F76" s="13"/>
      <c r="G76" s="13"/>
      <c r="H76" s="12"/>
      <c r="I76" s="12"/>
      <c r="J76" s="12"/>
      <c r="K76" s="13"/>
      <c r="L76" s="13"/>
      <c r="M76" s="14"/>
      <c r="N76" s="13"/>
      <c r="O76" s="13"/>
      <c r="P76" s="12"/>
    </row>
    <row r="77" customFormat="false" ht="19.5" hidden="false" customHeight="true" outlineLevel="0" collapsed="false">
      <c r="A77" s="13"/>
      <c r="B77" s="13"/>
      <c r="C77" s="31" t="str">
        <f aca="false">IF(B77="","",IFERROR(INDEX(Requirements!$C$5:$C$64,MATCH(B77,Requirements!$A$5:$A$64,0)),"Unknown requirement"))</f>
        <v/>
      </c>
      <c r="D77" s="13"/>
      <c r="E77" s="13"/>
      <c r="F77" s="13"/>
      <c r="G77" s="13"/>
      <c r="H77" s="12"/>
      <c r="I77" s="12"/>
      <c r="J77" s="12"/>
      <c r="K77" s="13"/>
      <c r="L77" s="13"/>
      <c r="M77" s="14"/>
      <c r="N77" s="13"/>
      <c r="O77" s="13"/>
      <c r="P77" s="12"/>
    </row>
    <row r="78" customFormat="false" ht="19.5" hidden="false" customHeight="true" outlineLevel="0" collapsed="false">
      <c r="A78" s="13"/>
      <c r="B78" s="13"/>
      <c r="C78" s="31" t="str">
        <f aca="false">IF(B78="","",IFERROR(INDEX(Requirements!$C$5:$C$64,MATCH(B78,Requirements!$A$5:$A$64,0)),"Unknown requirement"))</f>
        <v/>
      </c>
      <c r="D78" s="13"/>
      <c r="E78" s="13"/>
      <c r="F78" s="13"/>
      <c r="G78" s="13"/>
      <c r="H78" s="12"/>
      <c r="I78" s="12"/>
      <c r="J78" s="12"/>
      <c r="K78" s="13"/>
      <c r="L78" s="13"/>
      <c r="M78" s="14"/>
      <c r="N78" s="13"/>
      <c r="O78" s="13"/>
      <c r="P78" s="12"/>
    </row>
    <row r="79" customFormat="false" ht="19.5" hidden="false" customHeight="true" outlineLevel="0" collapsed="false">
      <c r="A79" s="13"/>
      <c r="B79" s="13"/>
      <c r="C79" s="31" t="str">
        <f aca="false">IF(B79="","",IFERROR(INDEX(Requirements!$C$5:$C$64,MATCH(B79,Requirements!$A$5:$A$64,0)),"Unknown requirement"))</f>
        <v/>
      </c>
      <c r="D79" s="13"/>
      <c r="E79" s="13"/>
      <c r="F79" s="13"/>
      <c r="G79" s="13"/>
      <c r="H79" s="12"/>
      <c r="I79" s="12"/>
      <c r="J79" s="12"/>
      <c r="K79" s="13"/>
      <c r="L79" s="13"/>
      <c r="M79" s="14"/>
      <c r="N79" s="13"/>
      <c r="O79" s="13"/>
      <c r="P79" s="12"/>
    </row>
    <row r="80" customFormat="false" ht="19.5" hidden="false" customHeight="true" outlineLevel="0" collapsed="false">
      <c r="A80" s="13"/>
      <c r="B80" s="13"/>
      <c r="C80" s="31" t="str">
        <f aca="false">IF(B80="","",IFERROR(INDEX(Requirements!$C$5:$C$64,MATCH(B80,Requirements!$A$5:$A$64,0)),"Unknown requirement"))</f>
        <v/>
      </c>
      <c r="D80" s="13"/>
      <c r="E80" s="13"/>
      <c r="F80" s="13"/>
      <c r="G80" s="13"/>
      <c r="H80" s="12"/>
      <c r="I80" s="12"/>
      <c r="J80" s="12"/>
      <c r="K80" s="13"/>
      <c r="L80" s="13"/>
      <c r="M80" s="14"/>
      <c r="N80" s="13"/>
      <c r="O80" s="13"/>
      <c r="P80" s="12"/>
    </row>
    <row r="81" customFormat="false" ht="19.5" hidden="false" customHeight="true" outlineLevel="0" collapsed="false">
      <c r="A81" s="13"/>
      <c r="B81" s="13"/>
      <c r="C81" s="31" t="str">
        <f aca="false">IF(B81="","",IFERROR(INDEX(Requirements!$C$5:$C$64,MATCH(B81,Requirements!$A$5:$A$64,0)),"Unknown requirement"))</f>
        <v/>
      </c>
      <c r="D81" s="13"/>
      <c r="E81" s="13"/>
      <c r="F81" s="13"/>
      <c r="G81" s="13"/>
      <c r="H81" s="12"/>
      <c r="I81" s="12"/>
      <c r="J81" s="12"/>
      <c r="K81" s="13"/>
      <c r="L81" s="13"/>
      <c r="M81" s="14"/>
      <c r="N81" s="13"/>
      <c r="O81" s="13"/>
      <c r="P81" s="12"/>
    </row>
    <row r="82" customFormat="false" ht="19.5" hidden="false" customHeight="true" outlineLevel="0" collapsed="false">
      <c r="A82" s="13"/>
      <c r="B82" s="13"/>
      <c r="C82" s="31" t="str">
        <f aca="false">IF(B82="","",IFERROR(INDEX(Requirements!$C$5:$C$64,MATCH(B82,Requirements!$A$5:$A$64,0)),"Unknown requirement"))</f>
        <v/>
      </c>
      <c r="D82" s="13"/>
      <c r="E82" s="13"/>
      <c r="F82" s="13"/>
      <c r="G82" s="13"/>
      <c r="H82" s="12"/>
      <c r="I82" s="12"/>
      <c r="J82" s="12"/>
      <c r="K82" s="13"/>
      <c r="L82" s="13"/>
      <c r="M82" s="14"/>
      <c r="N82" s="13"/>
      <c r="O82" s="13"/>
      <c r="P82" s="12"/>
    </row>
    <row r="83" customFormat="false" ht="19.5" hidden="false" customHeight="true" outlineLevel="0" collapsed="false">
      <c r="A83" s="13"/>
      <c r="B83" s="13"/>
      <c r="C83" s="31" t="str">
        <f aca="false">IF(B83="","",IFERROR(INDEX(Requirements!$C$5:$C$64,MATCH(B83,Requirements!$A$5:$A$64,0)),"Unknown requirement"))</f>
        <v/>
      </c>
      <c r="D83" s="13"/>
      <c r="E83" s="13"/>
      <c r="F83" s="13"/>
      <c r="G83" s="13"/>
      <c r="H83" s="12"/>
      <c r="I83" s="12"/>
      <c r="J83" s="12"/>
      <c r="K83" s="13"/>
      <c r="L83" s="13"/>
      <c r="M83" s="14"/>
      <c r="N83" s="13"/>
      <c r="O83" s="13"/>
      <c r="P83" s="12"/>
    </row>
    <row r="84" customFormat="false" ht="19.5" hidden="false" customHeight="true" outlineLevel="0" collapsed="false">
      <c r="A84" s="13"/>
      <c r="B84" s="13"/>
      <c r="C84" s="31" t="str">
        <f aca="false">IF(B84="","",IFERROR(INDEX(Requirements!$C$5:$C$64,MATCH(B84,Requirements!$A$5:$A$64,0)),"Unknown requirement"))</f>
        <v/>
      </c>
      <c r="D84" s="13"/>
      <c r="E84" s="13"/>
      <c r="F84" s="13"/>
      <c r="G84" s="13"/>
      <c r="H84" s="12"/>
      <c r="I84" s="12"/>
      <c r="J84" s="12"/>
      <c r="K84" s="13"/>
      <c r="L84" s="13"/>
      <c r="M84" s="14"/>
      <c r="N84" s="13"/>
      <c r="O84" s="13"/>
      <c r="P84" s="12"/>
    </row>
    <row r="85" customFormat="false" ht="19.5" hidden="false" customHeight="true" outlineLevel="0" collapsed="false">
      <c r="A85" s="13"/>
      <c r="B85" s="13"/>
      <c r="C85" s="31" t="str">
        <f aca="false">IF(B85="","",IFERROR(INDEX(Requirements!$C$5:$C$64,MATCH(B85,Requirements!$A$5:$A$64,0)),"Unknown requirement"))</f>
        <v/>
      </c>
      <c r="D85" s="13"/>
      <c r="E85" s="13"/>
      <c r="F85" s="13"/>
      <c r="G85" s="13"/>
      <c r="H85" s="12"/>
      <c r="I85" s="12"/>
      <c r="J85" s="12"/>
      <c r="K85" s="13"/>
      <c r="L85" s="13"/>
      <c r="M85" s="14"/>
      <c r="N85" s="13"/>
      <c r="O85" s="13"/>
      <c r="P85" s="12"/>
    </row>
    <row r="86" customFormat="false" ht="19.5" hidden="false" customHeight="true" outlineLevel="0" collapsed="false">
      <c r="A86" s="13"/>
      <c r="B86" s="13"/>
      <c r="C86" s="31" t="str">
        <f aca="false">IF(B86="","",IFERROR(INDEX(Requirements!$C$5:$C$64,MATCH(B86,Requirements!$A$5:$A$64,0)),"Unknown requirement"))</f>
        <v/>
      </c>
      <c r="D86" s="13"/>
      <c r="E86" s="13"/>
      <c r="F86" s="13"/>
      <c r="G86" s="13"/>
      <c r="H86" s="12"/>
      <c r="I86" s="12"/>
      <c r="J86" s="12"/>
      <c r="K86" s="13"/>
      <c r="L86" s="13"/>
      <c r="M86" s="14"/>
      <c r="N86" s="13"/>
      <c r="O86" s="13"/>
      <c r="P86" s="12"/>
    </row>
    <row r="87" customFormat="false" ht="19.5" hidden="false" customHeight="true" outlineLevel="0" collapsed="false">
      <c r="A87" s="13"/>
      <c r="B87" s="13"/>
      <c r="C87" s="31" t="str">
        <f aca="false">IF(B87="","",IFERROR(INDEX(Requirements!$C$5:$C$64,MATCH(B87,Requirements!$A$5:$A$64,0)),"Unknown requirement"))</f>
        <v/>
      </c>
      <c r="D87" s="13"/>
      <c r="E87" s="13"/>
      <c r="F87" s="13"/>
      <c r="G87" s="13"/>
      <c r="H87" s="12"/>
      <c r="I87" s="12"/>
      <c r="J87" s="12"/>
      <c r="K87" s="13"/>
      <c r="L87" s="13"/>
      <c r="M87" s="14"/>
      <c r="N87" s="13"/>
      <c r="O87" s="13"/>
      <c r="P87" s="12"/>
    </row>
    <row r="88" customFormat="false" ht="19.5" hidden="false" customHeight="true" outlineLevel="0" collapsed="false">
      <c r="A88" s="13"/>
      <c r="B88" s="13"/>
      <c r="C88" s="31" t="str">
        <f aca="false">IF(B88="","",IFERROR(INDEX(Requirements!$C$5:$C$64,MATCH(B88,Requirements!$A$5:$A$64,0)),"Unknown requirement"))</f>
        <v/>
      </c>
      <c r="D88" s="13"/>
      <c r="E88" s="13"/>
      <c r="F88" s="13"/>
      <c r="G88" s="13"/>
      <c r="H88" s="12"/>
      <c r="I88" s="12"/>
      <c r="J88" s="12"/>
      <c r="K88" s="13"/>
      <c r="L88" s="13"/>
      <c r="M88" s="14"/>
      <c r="N88" s="13"/>
      <c r="O88" s="13"/>
      <c r="P88" s="12"/>
    </row>
    <row r="89" customFormat="false" ht="19.5" hidden="false" customHeight="true" outlineLevel="0" collapsed="false">
      <c r="A89" s="13"/>
      <c r="B89" s="13"/>
      <c r="C89" s="31" t="str">
        <f aca="false">IF(B89="","",IFERROR(INDEX(Requirements!$C$5:$C$64,MATCH(B89,Requirements!$A$5:$A$64,0)),"Unknown requirement"))</f>
        <v/>
      </c>
      <c r="D89" s="13"/>
      <c r="E89" s="13"/>
      <c r="F89" s="13"/>
      <c r="G89" s="13"/>
      <c r="H89" s="12"/>
      <c r="I89" s="12"/>
      <c r="J89" s="12"/>
      <c r="K89" s="13"/>
      <c r="L89" s="13"/>
      <c r="M89" s="14"/>
      <c r="N89" s="13"/>
      <c r="O89" s="13"/>
      <c r="P89" s="12"/>
    </row>
    <row r="90" customFormat="false" ht="19.5" hidden="false" customHeight="true" outlineLevel="0" collapsed="false">
      <c r="A90" s="13"/>
      <c r="B90" s="13"/>
      <c r="C90" s="31" t="str">
        <f aca="false">IF(B90="","",IFERROR(INDEX(Requirements!$C$5:$C$64,MATCH(B90,Requirements!$A$5:$A$64,0)),"Unknown requirement"))</f>
        <v/>
      </c>
      <c r="D90" s="13"/>
      <c r="E90" s="13"/>
      <c r="F90" s="13"/>
      <c r="G90" s="13"/>
      <c r="H90" s="12"/>
      <c r="I90" s="12"/>
      <c r="J90" s="12"/>
      <c r="K90" s="13"/>
      <c r="L90" s="13"/>
      <c r="M90" s="14"/>
      <c r="N90" s="13"/>
      <c r="O90" s="13"/>
      <c r="P90" s="12"/>
    </row>
    <row r="91" customFormat="false" ht="19.5" hidden="false" customHeight="true" outlineLevel="0" collapsed="false">
      <c r="A91" s="13"/>
      <c r="B91" s="13"/>
      <c r="C91" s="31" t="str">
        <f aca="false">IF(B91="","",IFERROR(INDEX(Requirements!$C$5:$C$64,MATCH(B91,Requirements!$A$5:$A$64,0)),"Unknown requirement"))</f>
        <v/>
      </c>
      <c r="D91" s="13"/>
      <c r="E91" s="13"/>
      <c r="F91" s="13"/>
      <c r="G91" s="13"/>
      <c r="H91" s="12"/>
      <c r="I91" s="12"/>
      <c r="J91" s="12"/>
      <c r="K91" s="13"/>
      <c r="L91" s="13"/>
      <c r="M91" s="14"/>
      <c r="N91" s="13"/>
      <c r="O91" s="13"/>
      <c r="P91" s="12"/>
    </row>
    <row r="92" customFormat="false" ht="19.5" hidden="false" customHeight="true" outlineLevel="0" collapsed="false">
      <c r="A92" s="13"/>
      <c r="B92" s="13"/>
      <c r="C92" s="31" t="str">
        <f aca="false">IF(B92="","",IFERROR(INDEX(Requirements!$C$5:$C$64,MATCH(B92,Requirements!$A$5:$A$64,0)),"Unknown requirement"))</f>
        <v/>
      </c>
      <c r="D92" s="13"/>
      <c r="E92" s="13"/>
      <c r="F92" s="13"/>
      <c r="G92" s="13"/>
      <c r="H92" s="12"/>
      <c r="I92" s="12"/>
      <c r="J92" s="12"/>
      <c r="K92" s="13"/>
      <c r="L92" s="13"/>
      <c r="M92" s="14"/>
      <c r="N92" s="13"/>
      <c r="O92" s="13"/>
      <c r="P92" s="12"/>
    </row>
    <row r="93" customFormat="false" ht="19.5" hidden="false" customHeight="true" outlineLevel="0" collapsed="false">
      <c r="A93" s="13"/>
      <c r="B93" s="13"/>
      <c r="C93" s="31" t="str">
        <f aca="false">IF(B93="","",IFERROR(INDEX(Requirements!$C$5:$C$64,MATCH(B93,Requirements!$A$5:$A$64,0)),"Unknown requirement"))</f>
        <v/>
      </c>
      <c r="D93" s="13"/>
      <c r="E93" s="13"/>
      <c r="F93" s="13"/>
      <c r="G93" s="13"/>
      <c r="H93" s="12"/>
      <c r="I93" s="12"/>
      <c r="J93" s="12"/>
      <c r="K93" s="13"/>
      <c r="L93" s="13"/>
      <c r="M93" s="14"/>
      <c r="N93" s="13"/>
      <c r="O93" s="13"/>
      <c r="P93" s="12"/>
    </row>
    <row r="94" customFormat="false" ht="19.5" hidden="false" customHeight="true" outlineLevel="0" collapsed="false">
      <c r="A94" s="13"/>
      <c r="B94" s="13"/>
      <c r="C94" s="31" t="str">
        <f aca="false">IF(B94="","",IFERROR(INDEX(Requirements!$C$5:$C$64,MATCH(B94,Requirements!$A$5:$A$64,0)),"Unknown requirement"))</f>
        <v/>
      </c>
      <c r="D94" s="13"/>
      <c r="E94" s="13"/>
      <c r="F94" s="13"/>
      <c r="G94" s="13"/>
      <c r="H94" s="12"/>
      <c r="I94" s="12"/>
      <c r="J94" s="12"/>
      <c r="K94" s="13"/>
      <c r="L94" s="13"/>
      <c r="M94" s="14"/>
      <c r="N94" s="13"/>
      <c r="O94" s="13"/>
      <c r="P94" s="12"/>
    </row>
    <row r="95" customFormat="false" ht="19.5" hidden="false" customHeight="true" outlineLevel="0" collapsed="false">
      <c r="A95" s="13"/>
      <c r="B95" s="13"/>
      <c r="C95" s="31" t="str">
        <f aca="false">IF(B95="","",IFERROR(INDEX(Requirements!$C$5:$C$64,MATCH(B95,Requirements!$A$5:$A$64,0)),"Unknown requirement"))</f>
        <v/>
      </c>
      <c r="D95" s="13"/>
      <c r="E95" s="13"/>
      <c r="F95" s="13"/>
      <c r="G95" s="13"/>
      <c r="H95" s="12"/>
      <c r="I95" s="12"/>
      <c r="J95" s="12"/>
      <c r="K95" s="13"/>
      <c r="L95" s="13"/>
      <c r="M95" s="14"/>
      <c r="N95" s="13"/>
      <c r="O95" s="13"/>
      <c r="P95" s="12"/>
    </row>
    <row r="96" customFormat="false" ht="19.5" hidden="false" customHeight="true" outlineLevel="0" collapsed="false">
      <c r="A96" s="13"/>
      <c r="B96" s="13"/>
      <c r="C96" s="31" t="str">
        <f aca="false">IF(B96="","",IFERROR(INDEX(Requirements!$C$5:$C$64,MATCH(B96,Requirements!$A$5:$A$64,0)),"Unknown requirement"))</f>
        <v/>
      </c>
      <c r="D96" s="13"/>
      <c r="E96" s="13"/>
      <c r="F96" s="13"/>
      <c r="G96" s="13"/>
      <c r="H96" s="12"/>
      <c r="I96" s="12"/>
      <c r="J96" s="12"/>
      <c r="K96" s="13"/>
      <c r="L96" s="13"/>
      <c r="M96" s="14"/>
      <c r="N96" s="13"/>
      <c r="O96" s="13"/>
      <c r="P96" s="12"/>
    </row>
    <row r="97" customFormat="false" ht="19.5" hidden="false" customHeight="true" outlineLevel="0" collapsed="false">
      <c r="A97" s="13"/>
      <c r="B97" s="13"/>
      <c r="C97" s="31" t="str">
        <f aca="false">IF(B97="","",IFERROR(INDEX(Requirements!$C$5:$C$64,MATCH(B97,Requirements!$A$5:$A$64,0)),"Unknown requirement"))</f>
        <v/>
      </c>
      <c r="D97" s="13"/>
      <c r="E97" s="13"/>
      <c r="F97" s="13"/>
      <c r="G97" s="13"/>
      <c r="H97" s="12"/>
      <c r="I97" s="12"/>
      <c r="J97" s="12"/>
      <c r="K97" s="13"/>
      <c r="L97" s="13"/>
      <c r="M97" s="14"/>
      <c r="N97" s="13"/>
      <c r="O97" s="13"/>
      <c r="P97" s="12"/>
    </row>
    <row r="98" customFormat="false" ht="19.5" hidden="false" customHeight="true" outlineLevel="0" collapsed="false">
      <c r="A98" s="13"/>
      <c r="B98" s="13"/>
      <c r="C98" s="31" t="str">
        <f aca="false">IF(B98="","",IFERROR(INDEX(Requirements!$C$5:$C$64,MATCH(B98,Requirements!$A$5:$A$64,0)),"Unknown requirement"))</f>
        <v/>
      </c>
      <c r="D98" s="13"/>
      <c r="E98" s="13"/>
      <c r="F98" s="13"/>
      <c r="G98" s="13"/>
      <c r="H98" s="12"/>
      <c r="I98" s="12"/>
      <c r="J98" s="12"/>
      <c r="K98" s="13"/>
      <c r="L98" s="13"/>
      <c r="M98" s="14"/>
      <c r="N98" s="13"/>
      <c r="O98" s="13"/>
      <c r="P98" s="12"/>
    </row>
    <row r="99" customFormat="false" ht="19.5" hidden="false" customHeight="true" outlineLevel="0" collapsed="false">
      <c r="A99" s="13"/>
      <c r="B99" s="13"/>
      <c r="C99" s="31" t="str">
        <f aca="false">IF(B99="","",IFERROR(INDEX(Requirements!$C$5:$C$64,MATCH(B99,Requirements!$A$5:$A$64,0)),"Unknown requirement"))</f>
        <v/>
      </c>
      <c r="D99" s="13"/>
      <c r="E99" s="13"/>
      <c r="F99" s="13"/>
      <c r="G99" s="13"/>
      <c r="H99" s="12"/>
      <c r="I99" s="12"/>
      <c r="J99" s="12"/>
      <c r="K99" s="13"/>
      <c r="L99" s="13"/>
      <c r="M99" s="14"/>
      <c r="N99" s="13"/>
      <c r="O99" s="13"/>
      <c r="P99" s="12"/>
    </row>
    <row r="100" customFormat="false" ht="19.5" hidden="false" customHeight="true" outlineLevel="0" collapsed="false">
      <c r="A100" s="13"/>
      <c r="B100" s="13"/>
      <c r="C100" s="31" t="str">
        <f aca="false">IF(B100="","",IFERROR(INDEX(Requirements!$C$5:$C$64,MATCH(B100,Requirements!$A$5:$A$64,0)),"Unknown requirement"))</f>
        <v/>
      </c>
      <c r="D100" s="13"/>
      <c r="E100" s="13"/>
      <c r="F100" s="13"/>
      <c r="G100" s="13"/>
      <c r="H100" s="12"/>
      <c r="I100" s="12"/>
      <c r="J100" s="12"/>
      <c r="K100" s="13"/>
      <c r="L100" s="13"/>
      <c r="M100" s="14"/>
      <c r="N100" s="13"/>
      <c r="O100" s="13"/>
      <c r="P100" s="12"/>
    </row>
    <row r="101" customFormat="false" ht="19.5" hidden="false" customHeight="true" outlineLevel="0" collapsed="false">
      <c r="A101" s="13"/>
      <c r="B101" s="13"/>
      <c r="C101" s="31" t="str">
        <f aca="false">IF(B101="","",IFERROR(INDEX(Requirements!$C$5:$C$64,MATCH(B101,Requirements!$A$5:$A$64,0)),"Unknown requirement"))</f>
        <v/>
      </c>
      <c r="D101" s="13"/>
      <c r="E101" s="13"/>
      <c r="F101" s="13"/>
      <c r="G101" s="13"/>
      <c r="H101" s="12"/>
      <c r="I101" s="12"/>
      <c r="J101" s="12"/>
      <c r="K101" s="13"/>
      <c r="L101" s="13"/>
      <c r="M101" s="14"/>
      <c r="N101" s="13"/>
      <c r="O101" s="13"/>
      <c r="P101" s="12"/>
    </row>
    <row r="102" customFormat="false" ht="19.5" hidden="false" customHeight="true" outlineLevel="0" collapsed="false">
      <c r="A102" s="13"/>
      <c r="B102" s="13"/>
      <c r="C102" s="31" t="str">
        <f aca="false">IF(B102="","",IFERROR(INDEX(Requirements!$C$5:$C$64,MATCH(B102,Requirements!$A$5:$A$64,0)),"Unknown requirement"))</f>
        <v/>
      </c>
      <c r="D102" s="13"/>
      <c r="E102" s="13"/>
      <c r="F102" s="13"/>
      <c r="G102" s="13"/>
      <c r="H102" s="12"/>
      <c r="I102" s="12"/>
      <c r="J102" s="12"/>
      <c r="K102" s="13"/>
      <c r="L102" s="13"/>
      <c r="M102" s="14"/>
      <c r="N102" s="13"/>
      <c r="O102" s="13"/>
      <c r="P102" s="12"/>
    </row>
    <row r="103" customFormat="false" ht="19.5" hidden="false" customHeight="true" outlineLevel="0" collapsed="false">
      <c r="A103" s="13"/>
      <c r="B103" s="13"/>
      <c r="C103" s="31" t="str">
        <f aca="false">IF(B103="","",IFERROR(INDEX(Requirements!$C$5:$C$64,MATCH(B103,Requirements!$A$5:$A$64,0)),"Unknown requirement"))</f>
        <v/>
      </c>
      <c r="D103" s="13"/>
      <c r="E103" s="13"/>
      <c r="F103" s="13"/>
      <c r="G103" s="13"/>
      <c r="H103" s="12"/>
      <c r="I103" s="12"/>
      <c r="J103" s="12"/>
      <c r="K103" s="13"/>
      <c r="L103" s="13"/>
      <c r="M103" s="14"/>
      <c r="N103" s="13"/>
      <c r="O103" s="13"/>
      <c r="P103" s="12"/>
    </row>
    <row r="104" customFormat="false" ht="19.5" hidden="false" customHeight="true" outlineLevel="0" collapsed="false">
      <c r="A104" s="13"/>
      <c r="B104" s="13"/>
      <c r="C104" s="31" t="str">
        <f aca="false">IF(B104="","",IFERROR(INDEX(Requirements!$C$5:$C$64,MATCH(B104,Requirements!$A$5:$A$64,0)),"Unknown requirement"))</f>
        <v/>
      </c>
      <c r="D104" s="13"/>
      <c r="E104" s="13"/>
      <c r="F104" s="13"/>
      <c r="G104" s="13"/>
      <c r="H104" s="12"/>
      <c r="I104" s="12"/>
      <c r="J104" s="12"/>
      <c r="K104" s="13"/>
      <c r="L104" s="13"/>
      <c r="M104" s="14"/>
      <c r="N104" s="13"/>
      <c r="O104" s="13"/>
      <c r="P104" s="12"/>
    </row>
    <row r="105" customFormat="false" ht="19.5" hidden="false" customHeight="true" outlineLevel="0" collapsed="false">
      <c r="A105" s="13"/>
      <c r="B105" s="13"/>
      <c r="C105" s="31" t="str">
        <f aca="false">IF(B105="","",IFERROR(INDEX(Requirements!$C$5:$C$64,MATCH(B105,Requirements!$A$5:$A$64,0)),"Unknown requirement"))</f>
        <v/>
      </c>
      <c r="D105" s="13"/>
      <c r="E105" s="13"/>
      <c r="F105" s="13"/>
      <c r="G105" s="13"/>
      <c r="H105" s="12"/>
      <c r="I105" s="12"/>
      <c r="J105" s="12"/>
      <c r="K105" s="13"/>
      <c r="L105" s="13"/>
      <c r="M105" s="14"/>
      <c r="N105" s="13"/>
      <c r="O105" s="13"/>
      <c r="P105" s="12"/>
    </row>
    <row r="106" customFormat="false" ht="19.5" hidden="false" customHeight="true" outlineLevel="0" collapsed="false">
      <c r="A106" s="13"/>
      <c r="B106" s="13"/>
      <c r="C106" s="31" t="str">
        <f aca="false">IF(B106="","",IFERROR(INDEX(Requirements!$C$5:$C$64,MATCH(B106,Requirements!$A$5:$A$64,0)),"Unknown requirement"))</f>
        <v/>
      </c>
      <c r="D106" s="13"/>
      <c r="E106" s="13"/>
      <c r="F106" s="13"/>
      <c r="G106" s="13"/>
      <c r="H106" s="12"/>
      <c r="I106" s="12"/>
      <c r="J106" s="12"/>
      <c r="K106" s="13"/>
      <c r="L106" s="13"/>
      <c r="M106" s="14"/>
      <c r="N106" s="13"/>
      <c r="O106" s="13"/>
      <c r="P106" s="12"/>
    </row>
    <row r="107" customFormat="false" ht="19.5" hidden="false" customHeight="true" outlineLevel="0" collapsed="false">
      <c r="A107" s="13"/>
      <c r="B107" s="13"/>
      <c r="C107" s="31" t="str">
        <f aca="false">IF(B107="","",IFERROR(INDEX(Requirements!$C$5:$C$64,MATCH(B107,Requirements!$A$5:$A$64,0)),"Unknown requirement"))</f>
        <v/>
      </c>
      <c r="D107" s="13"/>
      <c r="E107" s="13"/>
      <c r="F107" s="13"/>
      <c r="G107" s="13"/>
      <c r="H107" s="12"/>
      <c r="I107" s="12"/>
      <c r="J107" s="12"/>
      <c r="K107" s="13"/>
      <c r="L107" s="13"/>
      <c r="M107" s="14"/>
      <c r="N107" s="13"/>
      <c r="O107" s="13"/>
      <c r="P107" s="12"/>
    </row>
    <row r="108" customFormat="false" ht="19.5" hidden="false" customHeight="true" outlineLevel="0" collapsed="false">
      <c r="A108" s="13"/>
      <c r="B108" s="13"/>
      <c r="C108" s="31" t="str">
        <f aca="false">IF(B108="","",IFERROR(INDEX(Requirements!$C$5:$C$64,MATCH(B108,Requirements!$A$5:$A$64,0)),"Unknown requirement"))</f>
        <v/>
      </c>
      <c r="D108" s="13"/>
      <c r="E108" s="13"/>
      <c r="F108" s="13"/>
      <c r="G108" s="13"/>
      <c r="H108" s="12"/>
      <c r="I108" s="12"/>
      <c r="J108" s="12"/>
      <c r="K108" s="13"/>
      <c r="L108" s="13"/>
      <c r="M108" s="14"/>
      <c r="N108" s="13"/>
      <c r="O108" s="13"/>
      <c r="P108" s="12"/>
    </row>
    <row r="109" customFormat="false" ht="19.5" hidden="false" customHeight="true" outlineLevel="0" collapsed="false">
      <c r="A109" s="13"/>
      <c r="B109" s="13"/>
      <c r="C109" s="31" t="str">
        <f aca="false">IF(B109="","",IFERROR(INDEX(Requirements!$C$5:$C$64,MATCH(B109,Requirements!$A$5:$A$64,0)),"Unknown requirement"))</f>
        <v/>
      </c>
      <c r="D109" s="13"/>
      <c r="E109" s="13"/>
      <c r="F109" s="13"/>
      <c r="G109" s="13"/>
      <c r="H109" s="12"/>
      <c r="I109" s="12"/>
      <c r="J109" s="12"/>
      <c r="K109" s="13"/>
      <c r="L109" s="13"/>
      <c r="M109" s="14"/>
      <c r="N109" s="13"/>
      <c r="O109" s="13"/>
      <c r="P109" s="12"/>
    </row>
    <row r="110" customFormat="false" ht="19.5" hidden="false" customHeight="true" outlineLevel="0" collapsed="false">
      <c r="A110" s="13"/>
      <c r="B110" s="13"/>
      <c r="C110" s="31" t="str">
        <f aca="false">IF(B110="","",IFERROR(INDEX(Requirements!$C$5:$C$64,MATCH(B110,Requirements!$A$5:$A$64,0)),"Unknown requirement"))</f>
        <v/>
      </c>
      <c r="D110" s="13"/>
      <c r="E110" s="13"/>
      <c r="F110" s="13"/>
      <c r="G110" s="13"/>
      <c r="H110" s="12"/>
      <c r="I110" s="12"/>
      <c r="J110" s="12"/>
      <c r="K110" s="13"/>
      <c r="L110" s="13"/>
      <c r="M110" s="14"/>
      <c r="N110" s="13"/>
      <c r="O110" s="13"/>
      <c r="P110" s="12"/>
    </row>
    <row r="111" customFormat="false" ht="19.5" hidden="false" customHeight="true" outlineLevel="0" collapsed="false">
      <c r="A111" s="13"/>
      <c r="B111" s="13"/>
      <c r="C111" s="31" t="str">
        <f aca="false">IF(B111="","",IFERROR(INDEX(Requirements!$C$5:$C$64,MATCH(B111,Requirements!$A$5:$A$64,0)),"Unknown requirement"))</f>
        <v/>
      </c>
      <c r="D111" s="13"/>
      <c r="E111" s="13"/>
      <c r="F111" s="13"/>
      <c r="G111" s="13"/>
      <c r="H111" s="12"/>
      <c r="I111" s="12"/>
      <c r="J111" s="12"/>
      <c r="K111" s="13"/>
      <c r="L111" s="13"/>
      <c r="M111" s="14"/>
      <c r="N111" s="13"/>
      <c r="O111" s="13"/>
      <c r="P111" s="12"/>
    </row>
    <row r="112" customFormat="false" ht="19.5" hidden="false" customHeight="true" outlineLevel="0" collapsed="false">
      <c r="A112" s="13"/>
      <c r="B112" s="13"/>
      <c r="C112" s="31" t="str">
        <f aca="false">IF(B112="","",IFERROR(INDEX(Requirements!$C$5:$C$64,MATCH(B112,Requirements!$A$5:$A$64,0)),"Unknown requirement"))</f>
        <v/>
      </c>
      <c r="D112" s="13"/>
      <c r="E112" s="13"/>
      <c r="F112" s="13"/>
      <c r="G112" s="13"/>
      <c r="H112" s="12"/>
      <c r="I112" s="12"/>
      <c r="J112" s="12"/>
      <c r="K112" s="13"/>
      <c r="L112" s="13"/>
      <c r="M112" s="14"/>
      <c r="N112" s="13"/>
      <c r="O112" s="13"/>
      <c r="P112" s="12"/>
    </row>
    <row r="113" customFormat="false" ht="19.5" hidden="false" customHeight="true" outlineLevel="0" collapsed="false">
      <c r="A113" s="13"/>
      <c r="B113" s="13"/>
      <c r="C113" s="31" t="str">
        <f aca="false">IF(B113="","",IFERROR(INDEX(Requirements!$C$5:$C$64,MATCH(B113,Requirements!$A$5:$A$64,0)),"Unknown requirement"))</f>
        <v/>
      </c>
      <c r="D113" s="13"/>
      <c r="E113" s="13"/>
      <c r="F113" s="13"/>
      <c r="G113" s="13"/>
      <c r="H113" s="12"/>
      <c r="I113" s="12"/>
      <c r="J113" s="12"/>
      <c r="K113" s="13"/>
      <c r="L113" s="13"/>
      <c r="M113" s="14"/>
      <c r="N113" s="13"/>
      <c r="O113" s="13"/>
      <c r="P113" s="12"/>
    </row>
    <row r="114" customFormat="false" ht="19.5" hidden="false" customHeight="true" outlineLevel="0" collapsed="false">
      <c r="A114" s="13"/>
      <c r="B114" s="13"/>
      <c r="C114" s="31" t="str">
        <f aca="false">IF(B114="","",IFERROR(INDEX(Requirements!$C$5:$C$64,MATCH(B114,Requirements!$A$5:$A$64,0)),"Unknown requirement"))</f>
        <v/>
      </c>
      <c r="D114" s="13"/>
      <c r="E114" s="13"/>
      <c r="F114" s="13"/>
      <c r="G114" s="13"/>
      <c r="H114" s="12"/>
      <c r="I114" s="12"/>
      <c r="J114" s="12"/>
      <c r="K114" s="13"/>
      <c r="L114" s="13"/>
      <c r="M114" s="14"/>
      <c r="N114" s="13"/>
      <c r="O114" s="13"/>
      <c r="P114" s="12"/>
    </row>
    <row r="115" customFormat="false" ht="19.5" hidden="false" customHeight="true" outlineLevel="0" collapsed="false">
      <c r="A115" s="13"/>
      <c r="B115" s="13"/>
      <c r="C115" s="31" t="str">
        <f aca="false">IF(B115="","",IFERROR(INDEX(Requirements!$C$5:$C$64,MATCH(B115,Requirements!$A$5:$A$64,0)),"Unknown requirement"))</f>
        <v/>
      </c>
      <c r="D115" s="13"/>
      <c r="E115" s="13"/>
      <c r="F115" s="13"/>
      <c r="G115" s="13"/>
      <c r="H115" s="12"/>
      <c r="I115" s="12"/>
      <c r="J115" s="12"/>
      <c r="K115" s="13"/>
      <c r="L115" s="13"/>
      <c r="M115" s="14"/>
      <c r="N115" s="13"/>
      <c r="O115" s="13"/>
      <c r="P115" s="12"/>
    </row>
    <row r="116" customFormat="false" ht="19.5" hidden="false" customHeight="true" outlineLevel="0" collapsed="false">
      <c r="A116" s="13"/>
      <c r="B116" s="13"/>
      <c r="C116" s="31" t="str">
        <f aca="false">IF(B116="","",IFERROR(INDEX(Requirements!$C$5:$C$64,MATCH(B116,Requirements!$A$5:$A$64,0)),"Unknown requirement"))</f>
        <v/>
      </c>
      <c r="D116" s="13"/>
      <c r="E116" s="13"/>
      <c r="F116" s="13"/>
      <c r="G116" s="13"/>
      <c r="H116" s="12"/>
      <c r="I116" s="12"/>
      <c r="J116" s="12"/>
      <c r="K116" s="13"/>
      <c r="L116" s="13"/>
      <c r="M116" s="14"/>
      <c r="N116" s="13"/>
      <c r="O116" s="13"/>
      <c r="P116" s="12"/>
    </row>
    <row r="117" customFormat="false" ht="19.5" hidden="false" customHeight="true" outlineLevel="0" collapsed="false">
      <c r="A117" s="13"/>
      <c r="B117" s="13"/>
      <c r="C117" s="31" t="str">
        <f aca="false">IF(B117="","",IFERROR(INDEX(Requirements!$C$5:$C$64,MATCH(B117,Requirements!$A$5:$A$64,0)),"Unknown requirement"))</f>
        <v/>
      </c>
      <c r="D117" s="13"/>
      <c r="E117" s="13"/>
      <c r="F117" s="13"/>
      <c r="G117" s="13"/>
      <c r="H117" s="12"/>
      <c r="I117" s="12"/>
      <c r="J117" s="12"/>
      <c r="K117" s="13"/>
      <c r="L117" s="13"/>
      <c r="M117" s="14"/>
      <c r="N117" s="13"/>
      <c r="O117" s="13"/>
      <c r="P117" s="12"/>
    </row>
    <row r="118" customFormat="false" ht="19.5" hidden="false" customHeight="true" outlineLevel="0" collapsed="false">
      <c r="A118" s="13"/>
      <c r="B118" s="13"/>
      <c r="C118" s="31" t="str">
        <f aca="false">IF(B118="","",IFERROR(INDEX(Requirements!$C$5:$C$64,MATCH(B118,Requirements!$A$5:$A$64,0)),"Unknown requirement"))</f>
        <v/>
      </c>
      <c r="D118" s="13"/>
      <c r="E118" s="13"/>
      <c r="F118" s="13"/>
      <c r="G118" s="13"/>
      <c r="H118" s="12"/>
      <c r="I118" s="12"/>
      <c r="J118" s="12"/>
      <c r="K118" s="13"/>
      <c r="L118" s="13"/>
      <c r="M118" s="14"/>
      <c r="N118" s="13"/>
      <c r="O118" s="13"/>
      <c r="P118" s="12"/>
    </row>
    <row r="119" customFormat="false" ht="19.5" hidden="false" customHeight="true" outlineLevel="0" collapsed="false">
      <c r="A119" s="13"/>
      <c r="B119" s="13"/>
      <c r="C119" s="31" t="str">
        <f aca="false">IF(B119="","",IFERROR(INDEX(Requirements!$C$5:$C$64,MATCH(B119,Requirements!$A$5:$A$64,0)),"Unknown requirement"))</f>
        <v/>
      </c>
      <c r="D119" s="13"/>
      <c r="E119" s="13"/>
      <c r="F119" s="13"/>
      <c r="G119" s="13"/>
      <c r="H119" s="12"/>
      <c r="I119" s="12"/>
      <c r="J119" s="12"/>
      <c r="K119" s="13"/>
      <c r="L119" s="13"/>
      <c r="M119" s="14"/>
      <c r="N119" s="13"/>
      <c r="O119" s="13"/>
      <c r="P119" s="12"/>
    </row>
    <row r="120" customFormat="false" ht="19.5" hidden="false" customHeight="true" outlineLevel="0" collapsed="false">
      <c r="A120" s="13"/>
      <c r="B120" s="13"/>
      <c r="C120" s="31" t="str">
        <f aca="false">IF(B120="","",IFERROR(INDEX(Requirements!$C$5:$C$64,MATCH(B120,Requirements!$A$5:$A$64,0)),"Unknown requirement"))</f>
        <v/>
      </c>
      <c r="D120" s="13"/>
      <c r="E120" s="13"/>
      <c r="F120" s="13"/>
      <c r="G120" s="13"/>
      <c r="H120" s="12"/>
      <c r="I120" s="12"/>
      <c r="J120" s="12"/>
      <c r="K120" s="13"/>
      <c r="L120" s="13"/>
      <c r="M120" s="14"/>
      <c r="N120" s="13"/>
      <c r="O120" s="13"/>
      <c r="P120" s="12"/>
    </row>
    <row r="121" customFormat="false" ht="19.5" hidden="false" customHeight="true" outlineLevel="0" collapsed="false">
      <c r="A121" s="13"/>
      <c r="B121" s="13"/>
      <c r="C121" s="31" t="str">
        <f aca="false">IF(B121="","",IFERROR(INDEX(Requirements!$C$5:$C$64,MATCH(B121,Requirements!$A$5:$A$64,0)),"Unknown requirement"))</f>
        <v/>
      </c>
      <c r="D121" s="13"/>
      <c r="E121" s="13"/>
      <c r="F121" s="13"/>
      <c r="G121" s="13"/>
      <c r="H121" s="12"/>
      <c r="I121" s="12"/>
      <c r="J121" s="12"/>
      <c r="K121" s="13"/>
      <c r="L121" s="13"/>
      <c r="M121" s="14"/>
      <c r="N121" s="13"/>
      <c r="O121" s="13"/>
      <c r="P121" s="12"/>
    </row>
    <row r="122" customFormat="false" ht="19.5" hidden="false" customHeight="true" outlineLevel="0" collapsed="false">
      <c r="A122" s="13"/>
      <c r="B122" s="13"/>
      <c r="C122" s="31" t="str">
        <f aca="false">IF(B122="","",IFERROR(INDEX(Requirements!$C$5:$C$64,MATCH(B122,Requirements!$A$5:$A$64,0)),"Unknown requirement"))</f>
        <v/>
      </c>
      <c r="D122" s="13"/>
      <c r="E122" s="13"/>
      <c r="F122" s="13"/>
      <c r="G122" s="13"/>
      <c r="H122" s="12"/>
      <c r="I122" s="12"/>
      <c r="J122" s="12"/>
      <c r="K122" s="13"/>
      <c r="L122" s="13"/>
      <c r="M122" s="14"/>
      <c r="N122" s="13"/>
      <c r="O122" s="13"/>
      <c r="P122" s="12"/>
    </row>
    <row r="123" customFormat="false" ht="19.5" hidden="false" customHeight="true" outlineLevel="0" collapsed="false">
      <c r="A123" s="13"/>
      <c r="B123" s="13"/>
      <c r="C123" s="31" t="str">
        <f aca="false">IF(B123="","",IFERROR(INDEX(Requirements!$C$5:$C$64,MATCH(B123,Requirements!$A$5:$A$64,0)),"Unknown requirement"))</f>
        <v/>
      </c>
      <c r="D123" s="13"/>
      <c r="E123" s="13"/>
      <c r="F123" s="13"/>
      <c r="G123" s="13"/>
      <c r="H123" s="12"/>
      <c r="I123" s="12"/>
      <c r="J123" s="12"/>
      <c r="K123" s="13"/>
      <c r="L123" s="13"/>
      <c r="M123" s="14"/>
      <c r="N123" s="13"/>
      <c r="O123" s="13"/>
      <c r="P123" s="12"/>
    </row>
    <row r="124" customFormat="false" ht="19.5" hidden="false" customHeight="true" outlineLevel="0" collapsed="false">
      <c r="A124" s="13"/>
      <c r="B124" s="13"/>
      <c r="C124" s="31" t="str">
        <f aca="false">IF(B124="","",IFERROR(INDEX(Requirements!$C$5:$C$64,MATCH(B124,Requirements!$A$5:$A$64,0)),"Unknown requirement"))</f>
        <v/>
      </c>
      <c r="D124" s="13"/>
      <c r="E124" s="13"/>
      <c r="F124" s="13"/>
      <c r="G124" s="13"/>
      <c r="H124" s="12"/>
      <c r="I124" s="12"/>
      <c r="J124" s="12"/>
      <c r="K124" s="13"/>
      <c r="L124" s="13"/>
      <c r="M124" s="14"/>
      <c r="N124" s="13"/>
      <c r="O124" s="13"/>
      <c r="P124" s="12"/>
    </row>
    <row r="125" customFormat="false" ht="19.5" hidden="false" customHeight="true" outlineLevel="0" collapsed="false">
      <c r="A125" s="13"/>
      <c r="B125" s="13"/>
      <c r="C125" s="31" t="str">
        <f aca="false">IF(B125="","",IFERROR(INDEX(Requirements!$C$5:$C$64,MATCH(B125,Requirements!$A$5:$A$64,0)),"Unknown requirement"))</f>
        <v/>
      </c>
      <c r="D125" s="13"/>
      <c r="E125" s="13"/>
      <c r="F125" s="13"/>
      <c r="G125" s="13"/>
      <c r="H125" s="12"/>
      <c r="I125" s="12"/>
      <c r="J125" s="12"/>
      <c r="K125" s="13"/>
      <c r="L125" s="13"/>
      <c r="M125" s="14"/>
      <c r="N125" s="13"/>
      <c r="O125" s="13"/>
      <c r="P125" s="12"/>
    </row>
    <row r="126" customFormat="false" ht="19.5" hidden="false" customHeight="true" outlineLevel="0" collapsed="false">
      <c r="A126" s="13"/>
      <c r="B126" s="13"/>
      <c r="C126" s="31" t="str">
        <f aca="false">IF(B126="","",IFERROR(INDEX(Requirements!$C$5:$C$64,MATCH(B126,Requirements!$A$5:$A$64,0)),"Unknown requirement"))</f>
        <v/>
      </c>
      <c r="D126" s="13"/>
      <c r="E126" s="13"/>
      <c r="F126" s="13"/>
      <c r="G126" s="13"/>
      <c r="H126" s="12"/>
      <c r="I126" s="12"/>
      <c r="J126" s="12"/>
      <c r="K126" s="13"/>
      <c r="L126" s="13"/>
      <c r="M126" s="14"/>
      <c r="N126" s="13"/>
      <c r="O126" s="13"/>
      <c r="P126" s="12"/>
    </row>
    <row r="127" customFormat="false" ht="19.5" hidden="false" customHeight="true" outlineLevel="0" collapsed="false">
      <c r="A127" s="13"/>
      <c r="B127" s="13"/>
      <c r="C127" s="31" t="str">
        <f aca="false">IF(B127="","",IFERROR(INDEX(Requirements!$C$5:$C$64,MATCH(B127,Requirements!$A$5:$A$64,0)),"Unknown requirement"))</f>
        <v/>
      </c>
      <c r="D127" s="13"/>
      <c r="E127" s="13"/>
      <c r="F127" s="13"/>
      <c r="G127" s="13"/>
      <c r="H127" s="12"/>
      <c r="I127" s="12"/>
      <c r="J127" s="12"/>
      <c r="K127" s="13"/>
      <c r="L127" s="13"/>
      <c r="M127" s="14"/>
      <c r="N127" s="13"/>
      <c r="O127" s="13"/>
      <c r="P127" s="12"/>
    </row>
    <row r="128" customFormat="false" ht="19.5" hidden="false" customHeight="true" outlineLevel="0" collapsed="false">
      <c r="A128" s="13"/>
      <c r="B128" s="13"/>
      <c r="C128" s="31" t="str">
        <f aca="false">IF(B128="","",IFERROR(INDEX(Requirements!$C$5:$C$64,MATCH(B128,Requirements!$A$5:$A$64,0)),"Unknown requirement"))</f>
        <v/>
      </c>
      <c r="D128" s="13"/>
      <c r="E128" s="13"/>
      <c r="F128" s="13"/>
      <c r="G128" s="13"/>
      <c r="H128" s="12"/>
      <c r="I128" s="12"/>
      <c r="J128" s="12"/>
      <c r="K128" s="13"/>
      <c r="L128" s="13"/>
      <c r="M128" s="14"/>
      <c r="N128" s="13"/>
      <c r="O128" s="13"/>
      <c r="P128" s="12"/>
    </row>
    <row r="129" customFormat="false" ht="19.5" hidden="false" customHeight="true" outlineLevel="0" collapsed="false">
      <c r="A129" s="13"/>
      <c r="B129" s="13"/>
      <c r="C129" s="31" t="str">
        <f aca="false">IF(B129="","",IFERROR(INDEX(Requirements!$C$5:$C$64,MATCH(B129,Requirements!$A$5:$A$64,0)),"Unknown requirement"))</f>
        <v/>
      </c>
      <c r="D129" s="13"/>
      <c r="E129" s="13"/>
      <c r="F129" s="13"/>
      <c r="G129" s="13"/>
      <c r="H129" s="12"/>
      <c r="I129" s="12"/>
      <c r="J129" s="12"/>
      <c r="K129" s="13"/>
      <c r="L129" s="13"/>
      <c r="M129" s="14"/>
      <c r="N129" s="13"/>
      <c r="O129" s="13"/>
      <c r="P129" s="12"/>
    </row>
    <row r="130" customFormat="false" ht="19.5" hidden="false" customHeight="true" outlineLevel="0" collapsed="false">
      <c r="A130" s="13"/>
      <c r="B130" s="13"/>
      <c r="C130" s="31" t="str">
        <f aca="false">IF(B130="","",IFERROR(INDEX(Requirements!$C$5:$C$64,MATCH(B130,Requirements!$A$5:$A$64,0)),"Unknown requirement"))</f>
        <v/>
      </c>
      <c r="D130" s="13"/>
      <c r="E130" s="13"/>
      <c r="F130" s="13"/>
      <c r="G130" s="13"/>
      <c r="H130" s="12"/>
      <c r="I130" s="12"/>
      <c r="J130" s="12"/>
      <c r="K130" s="13"/>
      <c r="L130" s="13"/>
      <c r="M130" s="14"/>
      <c r="N130" s="13"/>
      <c r="O130" s="13"/>
      <c r="P130" s="12"/>
    </row>
    <row r="131" customFormat="false" ht="19.5" hidden="false" customHeight="true" outlineLevel="0" collapsed="false">
      <c r="A131" s="13"/>
      <c r="B131" s="13"/>
      <c r="C131" s="31" t="str">
        <f aca="false">IF(B131="","",IFERROR(INDEX(Requirements!$C$5:$C$64,MATCH(B131,Requirements!$A$5:$A$64,0)),"Unknown requirement"))</f>
        <v/>
      </c>
      <c r="D131" s="13"/>
      <c r="E131" s="13"/>
      <c r="F131" s="13"/>
      <c r="G131" s="13"/>
      <c r="H131" s="12"/>
      <c r="I131" s="12"/>
      <c r="J131" s="12"/>
      <c r="K131" s="13"/>
      <c r="L131" s="13"/>
      <c r="M131" s="14"/>
      <c r="N131" s="13"/>
      <c r="O131" s="13"/>
      <c r="P131" s="12"/>
    </row>
    <row r="132" customFormat="false" ht="19.5" hidden="false" customHeight="true" outlineLevel="0" collapsed="false">
      <c r="A132" s="13"/>
      <c r="B132" s="13"/>
      <c r="C132" s="31" t="str">
        <f aca="false">IF(B132="","",IFERROR(INDEX(Requirements!$C$5:$C$64,MATCH(B132,Requirements!$A$5:$A$64,0)),"Unknown requirement"))</f>
        <v/>
      </c>
      <c r="D132" s="13"/>
      <c r="E132" s="13"/>
      <c r="F132" s="13"/>
      <c r="G132" s="13"/>
      <c r="H132" s="12"/>
      <c r="I132" s="12"/>
      <c r="J132" s="12"/>
      <c r="K132" s="13"/>
      <c r="L132" s="13"/>
      <c r="M132" s="14"/>
      <c r="N132" s="13"/>
      <c r="O132" s="13"/>
      <c r="P132" s="12"/>
    </row>
    <row r="133" customFormat="false" ht="19.5" hidden="false" customHeight="true" outlineLevel="0" collapsed="false">
      <c r="A133" s="13"/>
      <c r="B133" s="13"/>
      <c r="C133" s="31" t="str">
        <f aca="false">IF(B133="","",IFERROR(INDEX(Requirements!$C$5:$C$64,MATCH(B133,Requirements!$A$5:$A$64,0)),"Unknown requirement"))</f>
        <v/>
      </c>
      <c r="D133" s="13"/>
      <c r="E133" s="13"/>
      <c r="F133" s="13"/>
      <c r="G133" s="13"/>
      <c r="H133" s="12"/>
      <c r="I133" s="12"/>
      <c r="J133" s="12"/>
      <c r="K133" s="13"/>
      <c r="L133" s="13"/>
      <c r="M133" s="14"/>
      <c r="N133" s="13"/>
      <c r="O133" s="13"/>
      <c r="P133" s="12"/>
    </row>
    <row r="134" customFormat="false" ht="19.5" hidden="false" customHeight="true" outlineLevel="0" collapsed="false">
      <c r="A134" s="13"/>
      <c r="B134" s="13"/>
      <c r="C134" s="31" t="str">
        <f aca="false">IF(B134="","",IFERROR(INDEX(Requirements!$C$5:$C$64,MATCH(B134,Requirements!$A$5:$A$64,0)),"Unknown requirement"))</f>
        <v/>
      </c>
      <c r="D134" s="13"/>
      <c r="E134" s="13"/>
      <c r="F134" s="13"/>
      <c r="G134" s="13"/>
      <c r="H134" s="12"/>
      <c r="I134" s="12"/>
      <c r="J134" s="12"/>
      <c r="K134" s="13"/>
      <c r="L134" s="13"/>
      <c r="M134" s="14"/>
      <c r="N134" s="13"/>
      <c r="O134" s="13"/>
      <c r="P134" s="12"/>
    </row>
    <row r="135" customFormat="false" ht="19.5" hidden="false" customHeight="true" outlineLevel="0" collapsed="false">
      <c r="A135" s="13"/>
      <c r="B135" s="13"/>
      <c r="C135" s="31" t="str">
        <f aca="false">IF(B135="","",IFERROR(INDEX(Requirements!$C$5:$C$64,MATCH(B135,Requirements!$A$5:$A$64,0)),"Unknown requirement"))</f>
        <v/>
      </c>
      <c r="D135" s="13"/>
      <c r="E135" s="13"/>
      <c r="F135" s="13"/>
      <c r="G135" s="13"/>
      <c r="H135" s="12"/>
      <c r="I135" s="12"/>
      <c r="J135" s="12"/>
      <c r="K135" s="13"/>
      <c r="L135" s="13"/>
      <c r="M135" s="14"/>
      <c r="N135" s="13"/>
      <c r="O135" s="13"/>
      <c r="P135" s="12"/>
    </row>
    <row r="136" customFormat="false" ht="19.5" hidden="false" customHeight="true" outlineLevel="0" collapsed="false">
      <c r="A136" s="13"/>
      <c r="B136" s="13"/>
      <c r="C136" s="31" t="str">
        <f aca="false">IF(B136="","",IFERROR(INDEX(Requirements!$C$5:$C$64,MATCH(B136,Requirements!$A$5:$A$64,0)),"Unknown requirement"))</f>
        <v/>
      </c>
      <c r="D136" s="13"/>
      <c r="E136" s="13"/>
      <c r="F136" s="13"/>
      <c r="G136" s="13"/>
      <c r="H136" s="12"/>
      <c r="I136" s="12"/>
      <c r="J136" s="12"/>
      <c r="K136" s="13"/>
      <c r="L136" s="13"/>
      <c r="M136" s="14"/>
      <c r="N136" s="13"/>
      <c r="O136" s="13"/>
      <c r="P136" s="12"/>
    </row>
    <row r="137" customFormat="false" ht="19.5" hidden="false" customHeight="true" outlineLevel="0" collapsed="false">
      <c r="A137" s="13"/>
      <c r="B137" s="13"/>
      <c r="C137" s="31" t="str">
        <f aca="false">IF(B137="","",IFERROR(INDEX(Requirements!$C$5:$C$64,MATCH(B137,Requirements!$A$5:$A$64,0)),"Unknown requirement"))</f>
        <v/>
      </c>
      <c r="D137" s="13"/>
      <c r="E137" s="13"/>
      <c r="F137" s="13"/>
      <c r="G137" s="13"/>
      <c r="H137" s="12"/>
      <c r="I137" s="12"/>
      <c r="J137" s="12"/>
      <c r="K137" s="13"/>
      <c r="L137" s="13"/>
      <c r="M137" s="14"/>
      <c r="N137" s="13"/>
      <c r="O137" s="13"/>
      <c r="P137" s="12"/>
    </row>
    <row r="138" customFormat="false" ht="19.5" hidden="false" customHeight="true" outlineLevel="0" collapsed="false">
      <c r="A138" s="13"/>
      <c r="B138" s="13"/>
      <c r="C138" s="31" t="str">
        <f aca="false">IF(B138="","",IFERROR(INDEX(Requirements!$C$5:$C$64,MATCH(B138,Requirements!$A$5:$A$64,0)),"Unknown requirement"))</f>
        <v/>
      </c>
      <c r="D138" s="13"/>
      <c r="E138" s="13"/>
      <c r="F138" s="13"/>
      <c r="G138" s="13"/>
      <c r="H138" s="12"/>
      <c r="I138" s="12"/>
      <c r="J138" s="12"/>
      <c r="K138" s="13"/>
      <c r="L138" s="13"/>
      <c r="M138" s="14"/>
      <c r="N138" s="13"/>
      <c r="O138" s="13"/>
      <c r="P138" s="12"/>
    </row>
    <row r="139" customFormat="false" ht="19.5" hidden="false" customHeight="true" outlineLevel="0" collapsed="false">
      <c r="A139" s="13"/>
      <c r="B139" s="13"/>
      <c r="C139" s="31" t="str">
        <f aca="false">IF(B139="","",IFERROR(INDEX(Requirements!$C$5:$C$64,MATCH(B139,Requirements!$A$5:$A$64,0)),"Unknown requirement"))</f>
        <v/>
      </c>
      <c r="D139" s="13"/>
      <c r="E139" s="13"/>
      <c r="F139" s="13"/>
      <c r="G139" s="13"/>
      <c r="H139" s="12"/>
      <c r="I139" s="12"/>
      <c r="J139" s="12"/>
      <c r="K139" s="13"/>
      <c r="L139" s="13"/>
      <c r="M139" s="14"/>
      <c r="N139" s="13"/>
      <c r="O139" s="13"/>
      <c r="P139" s="12"/>
    </row>
    <row r="140" customFormat="false" ht="19.5" hidden="false" customHeight="true" outlineLevel="0" collapsed="false">
      <c r="A140" s="13"/>
      <c r="B140" s="13"/>
      <c r="C140" s="31" t="str">
        <f aca="false">IF(B140="","",IFERROR(INDEX(Requirements!$C$5:$C$64,MATCH(B140,Requirements!$A$5:$A$64,0)),"Unknown requirement"))</f>
        <v/>
      </c>
      <c r="D140" s="13"/>
      <c r="E140" s="13"/>
      <c r="F140" s="13"/>
      <c r="G140" s="13"/>
      <c r="H140" s="12"/>
      <c r="I140" s="12"/>
      <c r="J140" s="12"/>
      <c r="K140" s="13"/>
      <c r="L140" s="13"/>
      <c r="M140" s="14"/>
      <c r="N140" s="13"/>
      <c r="O140" s="13"/>
      <c r="P140" s="12"/>
    </row>
    <row r="141" customFormat="false" ht="19.5" hidden="false" customHeight="true" outlineLevel="0" collapsed="false">
      <c r="A141" s="13"/>
      <c r="B141" s="13"/>
      <c r="C141" s="31" t="str">
        <f aca="false">IF(B141="","",IFERROR(INDEX(Requirements!$C$5:$C$64,MATCH(B141,Requirements!$A$5:$A$64,0)),"Unknown requirement"))</f>
        <v/>
      </c>
      <c r="D141" s="13"/>
      <c r="E141" s="13"/>
      <c r="F141" s="13"/>
      <c r="G141" s="13"/>
      <c r="H141" s="12"/>
      <c r="I141" s="12"/>
      <c r="J141" s="12"/>
      <c r="K141" s="13"/>
      <c r="L141" s="13"/>
      <c r="M141" s="14"/>
      <c r="N141" s="13"/>
      <c r="O141" s="13"/>
      <c r="P141" s="12"/>
    </row>
    <row r="142" customFormat="false" ht="19.5" hidden="false" customHeight="true" outlineLevel="0" collapsed="false">
      <c r="A142" s="13"/>
      <c r="B142" s="13"/>
      <c r="C142" s="31" t="str">
        <f aca="false">IF(B142="","",IFERROR(INDEX(Requirements!$C$5:$C$64,MATCH(B142,Requirements!$A$5:$A$64,0)),"Unknown requirement"))</f>
        <v/>
      </c>
      <c r="D142" s="13"/>
      <c r="E142" s="13"/>
      <c r="F142" s="13"/>
      <c r="G142" s="13"/>
      <c r="H142" s="12"/>
      <c r="I142" s="12"/>
      <c r="J142" s="12"/>
      <c r="K142" s="13"/>
      <c r="L142" s="13"/>
      <c r="M142" s="14"/>
      <c r="N142" s="13"/>
      <c r="O142" s="13"/>
      <c r="P142" s="12"/>
    </row>
    <row r="143" customFormat="false" ht="19.5" hidden="false" customHeight="true" outlineLevel="0" collapsed="false">
      <c r="A143" s="13"/>
      <c r="B143" s="13"/>
      <c r="C143" s="31" t="str">
        <f aca="false">IF(B143="","",IFERROR(INDEX(Requirements!$C$5:$C$64,MATCH(B143,Requirements!$A$5:$A$64,0)),"Unknown requirement"))</f>
        <v/>
      </c>
      <c r="D143" s="13"/>
      <c r="E143" s="13"/>
      <c r="F143" s="13"/>
      <c r="G143" s="13"/>
      <c r="H143" s="12"/>
      <c r="I143" s="12"/>
      <c r="J143" s="12"/>
      <c r="K143" s="13"/>
      <c r="L143" s="13"/>
      <c r="M143" s="14"/>
      <c r="N143" s="13"/>
      <c r="O143" s="13"/>
      <c r="P143" s="12"/>
    </row>
    <row r="144" customFormat="false" ht="19.5" hidden="false" customHeight="true" outlineLevel="0" collapsed="false">
      <c r="A144" s="13"/>
      <c r="B144" s="13"/>
      <c r="C144" s="31" t="str">
        <f aca="false">IF(B144="","",IFERROR(INDEX(Requirements!$C$5:$C$64,MATCH(B144,Requirements!$A$5:$A$64,0)),"Unknown requirement"))</f>
        <v/>
      </c>
      <c r="D144" s="13"/>
      <c r="E144" s="13"/>
      <c r="F144" s="13"/>
      <c r="G144" s="13"/>
      <c r="H144" s="12"/>
      <c r="I144" s="12"/>
      <c r="J144" s="12"/>
      <c r="K144" s="13"/>
      <c r="L144" s="13"/>
      <c r="M144" s="14"/>
      <c r="N144" s="13"/>
      <c r="O144" s="13"/>
      <c r="P144" s="12"/>
    </row>
    <row r="145" customFormat="false" ht="19.5" hidden="false" customHeight="true" outlineLevel="0" collapsed="false">
      <c r="A145" s="13"/>
      <c r="B145" s="13"/>
      <c r="C145" s="31" t="str">
        <f aca="false">IF(B145="","",IFERROR(INDEX(Requirements!$C$5:$C$64,MATCH(B145,Requirements!$A$5:$A$64,0)),"Unknown requirement"))</f>
        <v/>
      </c>
      <c r="D145" s="13"/>
      <c r="E145" s="13"/>
      <c r="F145" s="13"/>
      <c r="G145" s="13"/>
      <c r="H145" s="12"/>
      <c r="I145" s="12"/>
      <c r="J145" s="12"/>
      <c r="K145" s="13"/>
      <c r="L145" s="13"/>
      <c r="M145" s="14"/>
      <c r="N145" s="13"/>
      <c r="O145" s="13"/>
      <c r="P145" s="12"/>
    </row>
    <row r="146" customFormat="false" ht="19.5" hidden="false" customHeight="true" outlineLevel="0" collapsed="false">
      <c r="A146" s="13"/>
      <c r="B146" s="13"/>
      <c r="C146" s="31" t="str">
        <f aca="false">IF(B146="","",IFERROR(INDEX(Requirements!$C$5:$C$64,MATCH(B146,Requirements!$A$5:$A$64,0)),"Unknown requirement"))</f>
        <v/>
      </c>
      <c r="D146" s="13"/>
      <c r="E146" s="13"/>
      <c r="F146" s="13"/>
      <c r="G146" s="13"/>
      <c r="H146" s="12"/>
      <c r="I146" s="12"/>
      <c r="J146" s="12"/>
      <c r="K146" s="13"/>
      <c r="L146" s="13"/>
      <c r="M146" s="14"/>
      <c r="N146" s="13"/>
      <c r="O146" s="13"/>
      <c r="P146" s="12"/>
    </row>
    <row r="147" customFormat="false" ht="19.5" hidden="false" customHeight="true" outlineLevel="0" collapsed="false">
      <c r="A147" s="13"/>
      <c r="B147" s="13"/>
      <c r="C147" s="31" t="str">
        <f aca="false">IF(B147="","",IFERROR(INDEX(Requirements!$C$5:$C$64,MATCH(B147,Requirements!$A$5:$A$64,0)),"Unknown requirement"))</f>
        <v/>
      </c>
      <c r="D147" s="13"/>
      <c r="E147" s="13"/>
      <c r="F147" s="13"/>
      <c r="G147" s="13"/>
      <c r="H147" s="12"/>
      <c r="I147" s="12"/>
      <c r="J147" s="12"/>
      <c r="K147" s="13"/>
      <c r="L147" s="13"/>
      <c r="M147" s="14"/>
      <c r="N147" s="13"/>
      <c r="O147" s="13"/>
      <c r="P147" s="12"/>
    </row>
    <row r="148" customFormat="false" ht="19.5" hidden="false" customHeight="true" outlineLevel="0" collapsed="false">
      <c r="A148" s="13"/>
      <c r="B148" s="13"/>
      <c r="C148" s="31" t="str">
        <f aca="false">IF(B148="","",IFERROR(INDEX(Requirements!$C$5:$C$64,MATCH(B148,Requirements!$A$5:$A$64,0)),"Unknown requirement"))</f>
        <v/>
      </c>
      <c r="D148" s="13"/>
      <c r="E148" s="13"/>
      <c r="F148" s="13"/>
      <c r="G148" s="13"/>
      <c r="H148" s="12"/>
      <c r="I148" s="12"/>
      <c r="J148" s="12"/>
      <c r="K148" s="13"/>
      <c r="L148" s="13"/>
      <c r="M148" s="14"/>
      <c r="N148" s="13"/>
      <c r="O148" s="13"/>
      <c r="P148" s="12"/>
    </row>
    <row r="149" customFormat="false" ht="19.5" hidden="false" customHeight="true" outlineLevel="0" collapsed="false">
      <c r="A149" s="13"/>
      <c r="B149" s="13"/>
      <c r="C149" s="31" t="str">
        <f aca="false">IF(B149="","",IFERROR(INDEX(Requirements!$C$5:$C$64,MATCH(B149,Requirements!$A$5:$A$64,0)),"Unknown requirement"))</f>
        <v/>
      </c>
      <c r="D149" s="13"/>
      <c r="E149" s="13"/>
      <c r="F149" s="13"/>
      <c r="G149" s="13"/>
      <c r="H149" s="12"/>
      <c r="I149" s="12"/>
      <c r="J149" s="12"/>
      <c r="K149" s="13"/>
      <c r="L149" s="13"/>
      <c r="M149" s="14"/>
      <c r="N149" s="13"/>
      <c r="O149" s="13"/>
      <c r="P149" s="12"/>
    </row>
    <row r="150" customFormat="false" ht="19.5" hidden="false" customHeight="true" outlineLevel="0" collapsed="false">
      <c r="A150" s="13"/>
      <c r="B150" s="13"/>
      <c r="C150" s="31" t="str">
        <f aca="false">IF(B150="","",IFERROR(INDEX(Requirements!$C$5:$C$64,MATCH(B150,Requirements!$A$5:$A$64,0)),"Unknown requirement"))</f>
        <v/>
      </c>
      <c r="D150" s="13"/>
      <c r="E150" s="13"/>
      <c r="F150" s="13"/>
      <c r="G150" s="13"/>
      <c r="H150" s="12"/>
      <c r="I150" s="12"/>
      <c r="J150" s="12"/>
      <c r="K150" s="13"/>
      <c r="L150" s="13"/>
      <c r="M150" s="14"/>
      <c r="N150" s="13"/>
      <c r="O150" s="13"/>
      <c r="P150" s="12"/>
    </row>
    <row r="151" customFormat="false" ht="19.5" hidden="false" customHeight="true" outlineLevel="0" collapsed="false">
      <c r="A151" s="13"/>
      <c r="B151" s="13"/>
      <c r="C151" s="31" t="str">
        <f aca="false">IF(B151="","",IFERROR(INDEX(Requirements!$C$5:$C$64,MATCH(B151,Requirements!$A$5:$A$64,0)),"Unknown requirement"))</f>
        <v/>
      </c>
      <c r="D151" s="13"/>
      <c r="E151" s="13"/>
      <c r="F151" s="13"/>
      <c r="G151" s="13"/>
      <c r="H151" s="12"/>
      <c r="I151" s="12"/>
      <c r="J151" s="12"/>
      <c r="K151" s="13"/>
      <c r="L151" s="13"/>
      <c r="M151" s="14"/>
      <c r="N151" s="13"/>
      <c r="O151" s="13"/>
      <c r="P151" s="12"/>
    </row>
    <row r="152" customFormat="false" ht="19.5" hidden="false" customHeight="true" outlineLevel="0" collapsed="false">
      <c r="A152" s="13"/>
      <c r="B152" s="13"/>
      <c r="C152" s="31" t="str">
        <f aca="false">IF(B152="","",IFERROR(INDEX(Requirements!$C$5:$C$64,MATCH(B152,Requirements!$A$5:$A$64,0)),"Unknown requirement"))</f>
        <v/>
      </c>
      <c r="D152" s="13"/>
      <c r="E152" s="13"/>
      <c r="F152" s="13"/>
      <c r="G152" s="13"/>
      <c r="H152" s="12"/>
      <c r="I152" s="12"/>
      <c r="J152" s="12"/>
      <c r="K152" s="13"/>
      <c r="L152" s="13"/>
      <c r="M152" s="14"/>
      <c r="N152" s="13"/>
      <c r="O152" s="13"/>
      <c r="P152" s="12"/>
    </row>
    <row r="153" customFormat="false" ht="19.5" hidden="false" customHeight="true" outlineLevel="0" collapsed="false">
      <c r="A153" s="13"/>
      <c r="B153" s="13"/>
      <c r="C153" s="31" t="str">
        <f aca="false">IF(B153="","",IFERROR(INDEX(Requirements!$C$5:$C$64,MATCH(B153,Requirements!$A$5:$A$64,0)),"Unknown requirement"))</f>
        <v/>
      </c>
      <c r="D153" s="13"/>
      <c r="E153" s="13"/>
      <c r="F153" s="13"/>
      <c r="G153" s="13"/>
      <c r="H153" s="12"/>
      <c r="I153" s="12"/>
      <c r="J153" s="12"/>
      <c r="K153" s="13"/>
      <c r="L153" s="13"/>
      <c r="M153" s="14"/>
      <c r="N153" s="13"/>
      <c r="O153" s="13"/>
      <c r="P153" s="12"/>
    </row>
    <row r="154" customFormat="false" ht="19.5" hidden="false" customHeight="true" outlineLevel="0" collapsed="false">
      <c r="A154" s="13"/>
      <c r="B154" s="13"/>
      <c r="C154" s="31" t="str">
        <f aca="false">IF(B154="","",IFERROR(INDEX(Requirements!$C$5:$C$64,MATCH(B154,Requirements!$A$5:$A$64,0)),"Unknown requirement"))</f>
        <v/>
      </c>
      <c r="D154" s="13"/>
      <c r="E154" s="13"/>
      <c r="F154" s="13"/>
      <c r="G154" s="13"/>
      <c r="H154" s="12"/>
      <c r="I154" s="12"/>
      <c r="J154" s="12"/>
      <c r="K154" s="13"/>
      <c r="L154" s="13"/>
      <c r="M154" s="14"/>
      <c r="N154" s="13"/>
      <c r="O154" s="13"/>
      <c r="P154" s="12"/>
    </row>
    <row r="155" customFormat="false" ht="19.5" hidden="false" customHeight="true" outlineLevel="0" collapsed="false">
      <c r="A155" s="13"/>
      <c r="B155" s="13"/>
      <c r="C155" s="31" t="str">
        <f aca="false">IF(B155="","",IFERROR(INDEX(Requirements!$C$5:$C$64,MATCH(B155,Requirements!$A$5:$A$64,0)),"Unknown requirement"))</f>
        <v/>
      </c>
      <c r="D155" s="13"/>
      <c r="E155" s="13"/>
      <c r="F155" s="13"/>
      <c r="G155" s="13"/>
      <c r="H155" s="12"/>
      <c r="I155" s="12"/>
      <c r="J155" s="12"/>
      <c r="K155" s="13"/>
      <c r="L155" s="13"/>
      <c r="M155" s="14"/>
      <c r="N155" s="13"/>
      <c r="O155" s="13"/>
      <c r="P155" s="12"/>
    </row>
    <row r="156" customFormat="false" ht="19.5" hidden="false" customHeight="true" outlineLevel="0" collapsed="false">
      <c r="A156" s="13"/>
      <c r="B156" s="13"/>
      <c r="C156" s="31" t="str">
        <f aca="false">IF(B156="","",IFERROR(INDEX(Requirements!$C$5:$C$64,MATCH(B156,Requirements!$A$5:$A$64,0)),"Unknown requirement"))</f>
        <v/>
      </c>
      <c r="D156" s="13"/>
      <c r="E156" s="13"/>
      <c r="F156" s="13"/>
      <c r="G156" s="13"/>
      <c r="H156" s="12"/>
      <c r="I156" s="12"/>
      <c r="J156" s="12"/>
      <c r="K156" s="13"/>
      <c r="L156" s="13"/>
      <c r="M156" s="14"/>
      <c r="N156" s="13"/>
      <c r="O156" s="13"/>
      <c r="P156" s="12"/>
    </row>
    <row r="157" customFormat="false" ht="19.5" hidden="false" customHeight="true" outlineLevel="0" collapsed="false">
      <c r="A157" s="13"/>
      <c r="B157" s="13"/>
      <c r="C157" s="31" t="str">
        <f aca="false">IF(B157="","",IFERROR(INDEX(Requirements!$C$5:$C$64,MATCH(B157,Requirements!$A$5:$A$64,0)),"Unknown requirement"))</f>
        <v/>
      </c>
      <c r="D157" s="13"/>
      <c r="E157" s="13"/>
      <c r="F157" s="13"/>
      <c r="G157" s="13"/>
      <c r="H157" s="12"/>
      <c r="I157" s="12"/>
      <c r="J157" s="12"/>
      <c r="K157" s="13"/>
      <c r="L157" s="13"/>
      <c r="M157" s="14"/>
      <c r="N157" s="13"/>
      <c r="O157" s="13"/>
      <c r="P157" s="12"/>
    </row>
    <row r="158" customFormat="false" ht="19.5" hidden="false" customHeight="true" outlineLevel="0" collapsed="false">
      <c r="A158" s="13"/>
      <c r="B158" s="13"/>
      <c r="C158" s="31" t="str">
        <f aca="false">IF(B158="","",IFERROR(INDEX(Requirements!$C$5:$C$64,MATCH(B158,Requirements!$A$5:$A$64,0)),"Unknown requirement"))</f>
        <v/>
      </c>
      <c r="D158" s="13"/>
      <c r="E158" s="13"/>
      <c r="F158" s="13"/>
      <c r="G158" s="13"/>
      <c r="H158" s="12"/>
      <c r="I158" s="12"/>
      <c r="J158" s="12"/>
      <c r="K158" s="13"/>
      <c r="L158" s="13"/>
      <c r="M158" s="14"/>
      <c r="N158" s="13"/>
      <c r="O158" s="13"/>
      <c r="P158" s="12"/>
    </row>
    <row r="159" customFormat="false" ht="19.5" hidden="false" customHeight="true" outlineLevel="0" collapsed="false">
      <c r="A159" s="13"/>
      <c r="B159" s="13"/>
      <c r="C159" s="31" t="str">
        <f aca="false">IF(B159="","",IFERROR(INDEX(Requirements!$C$5:$C$64,MATCH(B159,Requirements!$A$5:$A$64,0)),"Unknown requirement"))</f>
        <v/>
      </c>
      <c r="D159" s="13"/>
      <c r="E159" s="13"/>
      <c r="F159" s="13"/>
      <c r="G159" s="13"/>
      <c r="H159" s="12"/>
      <c r="I159" s="12"/>
      <c r="J159" s="12"/>
      <c r="K159" s="13"/>
      <c r="L159" s="13"/>
      <c r="M159" s="14"/>
      <c r="N159" s="13"/>
      <c r="O159" s="13"/>
      <c r="P159" s="12"/>
    </row>
    <row r="160" customFormat="false" ht="19.5" hidden="false" customHeight="true" outlineLevel="0" collapsed="false">
      <c r="A160" s="13"/>
      <c r="B160" s="13"/>
      <c r="C160" s="31" t="str">
        <f aca="false">IF(B160="","",IFERROR(INDEX(Requirements!$C$5:$C$64,MATCH(B160,Requirements!$A$5:$A$64,0)),"Unknown requirement"))</f>
        <v/>
      </c>
      <c r="D160" s="13"/>
      <c r="E160" s="13"/>
      <c r="F160" s="13"/>
      <c r="G160" s="13"/>
      <c r="H160" s="12"/>
      <c r="I160" s="12"/>
      <c r="J160" s="12"/>
      <c r="K160" s="13"/>
      <c r="L160" s="13"/>
      <c r="M160" s="14"/>
      <c r="N160" s="13"/>
      <c r="O160" s="13"/>
      <c r="P160" s="12"/>
    </row>
    <row r="161" customFormat="false" ht="19.5" hidden="false" customHeight="true" outlineLevel="0" collapsed="false">
      <c r="A161" s="13"/>
      <c r="B161" s="13"/>
      <c r="C161" s="31" t="str">
        <f aca="false">IF(B161="","",IFERROR(INDEX(Requirements!$C$5:$C$64,MATCH(B161,Requirements!$A$5:$A$64,0)),"Unknown requirement"))</f>
        <v/>
      </c>
      <c r="D161" s="13"/>
      <c r="E161" s="13"/>
      <c r="F161" s="13"/>
      <c r="G161" s="13"/>
      <c r="H161" s="12"/>
      <c r="I161" s="12"/>
      <c r="J161" s="12"/>
      <c r="K161" s="13"/>
      <c r="L161" s="13"/>
      <c r="M161" s="14"/>
      <c r="N161" s="13"/>
      <c r="O161" s="13"/>
      <c r="P161" s="12"/>
    </row>
    <row r="162" customFormat="false" ht="19.5" hidden="false" customHeight="true" outlineLevel="0" collapsed="false">
      <c r="A162" s="13"/>
      <c r="B162" s="13"/>
      <c r="C162" s="31" t="str">
        <f aca="false">IF(B162="","",IFERROR(INDEX(Requirements!$C$5:$C$64,MATCH(B162,Requirements!$A$5:$A$64,0)),"Unknown requirement"))</f>
        <v/>
      </c>
      <c r="D162" s="13"/>
      <c r="E162" s="13"/>
      <c r="F162" s="13"/>
      <c r="G162" s="13"/>
      <c r="H162" s="12"/>
      <c r="I162" s="12"/>
      <c r="J162" s="12"/>
      <c r="K162" s="13"/>
      <c r="L162" s="13"/>
      <c r="M162" s="14"/>
      <c r="N162" s="13"/>
      <c r="O162" s="13"/>
      <c r="P162" s="12"/>
    </row>
    <row r="163" customFormat="false" ht="19.5" hidden="false" customHeight="true" outlineLevel="0" collapsed="false">
      <c r="A163" s="13"/>
      <c r="B163" s="13"/>
      <c r="C163" s="31" t="str">
        <f aca="false">IF(B163="","",IFERROR(INDEX(Requirements!$C$5:$C$64,MATCH(B163,Requirements!$A$5:$A$64,0)),"Unknown requirement"))</f>
        <v/>
      </c>
      <c r="D163" s="13"/>
      <c r="E163" s="13"/>
      <c r="F163" s="13"/>
      <c r="G163" s="13"/>
      <c r="H163" s="12"/>
      <c r="I163" s="12"/>
      <c r="J163" s="12"/>
      <c r="K163" s="13"/>
      <c r="L163" s="13"/>
      <c r="M163" s="14"/>
      <c r="N163" s="13"/>
      <c r="O163" s="13"/>
      <c r="P163" s="12"/>
    </row>
    <row r="164" customFormat="false" ht="19.5" hidden="false" customHeight="true" outlineLevel="0" collapsed="false">
      <c r="A164" s="13"/>
      <c r="B164" s="13"/>
      <c r="C164" s="31" t="str">
        <f aca="false">IF(B164="","",IFERROR(INDEX(Requirements!$C$5:$C$64,MATCH(B164,Requirements!$A$5:$A$64,0)),"Unknown requirement"))</f>
        <v/>
      </c>
      <c r="D164" s="13"/>
      <c r="E164" s="13"/>
      <c r="F164" s="13"/>
      <c r="G164" s="13"/>
      <c r="H164" s="12"/>
      <c r="I164" s="12"/>
      <c r="J164" s="12"/>
      <c r="K164" s="13"/>
      <c r="L164" s="13"/>
      <c r="M164" s="14"/>
      <c r="N164" s="13"/>
      <c r="O164" s="13"/>
      <c r="P164" s="12"/>
    </row>
    <row r="165" customFormat="false" ht="19.5" hidden="false" customHeight="true" outlineLevel="0" collapsed="false">
      <c r="A165" s="13"/>
      <c r="B165" s="13"/>
      <c r="C165" s="31" t="str">
        <f aca="false">IF(B165="","",IFERROR(INDEX(Requirements!$C$5:$C$64,MATCH(B165,Requirements!$A$5:$A$64,0)),"Unknown requirement"))</f>
        <v/>
      </c>
      <c r="D165" s="13"/>
      <c r="E165" s="13"/>
      <c r="F165" s="13"/>
      <c r="G165" s="13"/>
      <c r="H165" s="12"/>
      <c r="I165" s="12"/>
      <c r="J165" s="12"/>
      <c r="K165" s="13"/>
      <c r="L165" s="13"/>
      <c r="M165" s="14"/>
      <c r="N165" s="13"/>
      <c r="O165" s="13"/>
      <c r="P165" s="12"/>
    </row>
    <row r="166" customFormat="false" ht="19.5" hidden="false" customHeight="true" outlineLevel="0" collapsed="false">
      <c r="A166" s="13"/>
      <c r="B166" s="13"/>
      <c r="C166" s="31" t="str">
        <f aca="false">IF(B166="","",IFERROR(INDEX(Requirements!$C$5:$C$64,MATCH(B166,Requirements!$A$5:$A$64,0)),"Unknown requirement"))</f>
        <v/>
      </c>
      <c r="D166" s="13"/>
      <c r="E166" s="13"/>
      <c r="F166" s="13"/>
      <c r="G166" s="13"/>
      <c r="H166" s="12"/>
      <c r="I166" s="12"/>
      <c r="J166" s="12"/>
      <c r="K166" s="13"/>
      <c r="L166" s="13"/>
      <c r="M166" s="14"/>
      <c r="N166" s="13"/>
      <c r="O166" s="13"/>
      <c r="P166" s="12"/>
    </row>
    <row r="167" customFormat="false" ht="19.5" hidden="false" customHeight="true" outlineLevel="0" collapsed="false">
      <c r="A167" s="13"/>
      <c r="B167" s="13"/>
      <c r="C167" s="31" t="str">
        <f aca="false">IF(B167="","",IFERROR(INDEX(Requirements!$C$5:$C$64,MATCH(B167,Requirements!$A$5:$A$64,0)),"Unknown requirement"))</f>
        <v/>
      </c>
      <c r="D167" s="13"/>
      <c r="E167" s="13"/>
      <c r="F167" s="13"/>
      <c r="G167" s="13"/>
      <c r="H167" s="12"/>
      <c r="I167" s="12"/>
      <c r="J167" s="12"/>
      <c r="K167" s="13"/>
      <c r="L167" s="13"/>
      <c r="M167" s="14"/>
      <c r="N167" s="13"/>
      <c r="O167" s="13"/>
      <c r="P167" s="12"/>
    </row>
    <row r="168" customFormat="false" ht="19.5" hidden="false" customHeight="true" outlineLevel="0" collapsed="false">
      <c r="A168" s="13"/>
      <c r="B168" s="13"/>
      <c r="C168" s="31" t="str">
        <f aca="false">IF(B168="","",IFERROR(INDEX(Requirements!$C$5:$C$64,MATCH(B168,Requirements!$A$5:$A$64,0)),"Unknown requirement"))</f>
        <v/>
      </c>
      <c r="D168" s="13"/>
      <c r="E168" s="13"/>
      <c r="F168" s="13"/>
      <c r="G168" s="13"/>
      <c r="H168" s="12"/>
      <c r="I168" s="12"/>
      <c r="J168" s="12"/>
      <c r="K168" s="13"/>
      <c r="L168" s="13"/>
      <c r="M168" s="14"/>
      <c r="N168" s="13"/>
      <c r="O168" s="13"/>
      <c r="P168" s="12"/>
    </row>
    <row r="169" customFormat="false" ht="19.5" hidden="false" customHeight="true" outlineLevel="0" collapsed="false">
      <c r="A169" s="13"/>
      <c r="B169" s="13"/>
      <c r="C169" s="31" t="str">
        <f aca="false">IF(B169="","",IFERROR(INDEX(Requirements!$C$5:$C$64,MATCH(B169,Requirements!$A$5:$A$64,0)),"Unknown requirement"))</f>
        <v/>
      </c>
      <c r="D169" s="13"/>
      <c r="E169" s="13"/>
      <c r="F169" s="13"/>
      <c r="G169" s="13"/>
      <c r="H169" s="12"/>
      <c r="I169" s="12"/>
      <c r="J169" s="12"/>
      <c r="K169" s="13"/>
      <c r="L169" s="13"/>
      <c r="M169" s="14"/>
      <c r="N169" s="13"/>
      <c r="O169" s="13"/>
      <c r="P169" s="12"/>
    </row>
    <row r="170" customFormat="false" ht="19.5" hidden="false" customHeight="true" outlineLevel="0" collapsed="false">
      <c r="A170" s="13"/>
      <c r="B170" s="13"/>
      <c r="C170" s="31" t="str">
        <f aca="false">IF(B170="","",IFERROR(INDEX(Requirements!$C$5:$C$64,MATCH(B170,Requirements!$A$5:$A$64,0)),"Unknown requirement"))</f>
        <v/>
      </c>
      <c r="D170" s="13"/>
      <c r="E170" s="13"/>
      <c r="F170" s="13"/>
      <c r="G170" s="13"/>
      <c r="H170" s="12"/>
      <c r="I170" s="12"/>
      <c r="J170" s="12"/>
      <c r="K170" s="13"/>
      <c r="L170" s="13"/>
      <c r="M170" s="14"/>
      <c r="N170" s="13"/>
      <c r="O170" s="13"/>
      <c r="P170" s="12"/>
    </row>
    <row r="171" customFormat="false" ht="19.5" hidden="false" customHeight="true" outlineLevel="0" collapsed="false">
      <c r="A171" s="13"/>
      <c r="B171" s="13"/>
      <c r="C171" s="31" t="str">
        <f aca="false">IF(B171="","",IFERROR(INDEX(Requirements!$C$5:$C$64,MATCH(B171,Requirements!$A$5:$A$64,0)),"Unknown requirement"))</f>
        <v/>
      </c>
      <c r="D171" s="13"/>
      <c r="E171" s="13"/>
      <c r="F171" s="13"/>
      <c r="G171" s="13"/>
      <c r="H171" s="12"/>
      <c r="I171" s="12"/>
      <c r="J171" s="12"/>
      <c r="K171" s="13"/>
      <c r="L171" s="13"/>
      <c r="M171" s="14"/>
      <c r="N171" s="13"/>
      <c r="O171" s="13"/>
      <c r="P171" s="12"/>
    </row>
    <row r="172" customFormat="false" ht="19.5" hidden="false" customHeight="true" outlineLevel="0" collapsed="false">
      <c r="A172" s="13"/>
      <c r="B172" s="13"/>
      <c r="C172" s="31" t="str">
        <f aca="false">IF(B172="","",IFERROR(INDEX(Requirements!$C$5:$C$64,MATCH(B172,Requirements!$A$5:$A$64,0)),"Unknown requirement"))</f>
        <v/>
      </c>
      <c r="D172" s="13"/>
      <c r="E172" s="13"/>
      <c r="F172" s="13"/>
      <c r="G172" s="13"/>
      <c r="H172" s="12"/>
      <c r="I172" s="12"/>
      <c r="J172" s="12"/>
      <c r="K172" s="13"/>
      <c r="L172" s="13"/>
      <c r="M172" s="14"/>
      <c r="N172" s="13"/>
      <c r="O172" s="13"/>
      <c r="P172" s="12"/>
    </row>
    <row r="173" customFormat="false" ht="19.5" hidden="false" customHeight="true" outlineLevel="0" collapsed="false">
      <c r="A173" s="13"/>
      <c r="B173" s="13"/>
      <c r="C173" s="31" t="str">
        <f aca="false">IF(B173="","",IFERROR(INDEX(Requirements!$C$5:$C$64,MATCH(B173,Requirements!$A$5:$A$64,0)),"Unknown requirement"))</f>
        <v/>
      </c>
      <c r="D173" s="13"/>
      <c r="E173" s="13"/>
      <c r="F173" s="13"/>
      <c r="G173" s="13"/>
      <c r="H173" s="12"/>
      <c r="I173" s="12"/>
      <c r="J173" s="12"/>
      <c r="K173" s="13"/>
      <c r="L173" s="13"/>
      <c r="M173" s="14"/>
      <c r="N173" s="13"/>
      <c r="O173" s="13"/>
      <c r="P173" s="12"/>
    </row>
    <row r="174" customFormat="false" ht="19.5" hidden="false" customHeight="true" outlineLevel="0" collapsed="false">
      <c r="A174" s="13"/>
      <c r="B174" s="13"/>
      <c r="C174" s="31" t="str">
        <f aca="false">IF(B174="","",IFERROR(INDEX(Requirements!$C$5:$C$64,MATCH(B174,Requirements!$A$5:$A$64,0)),"Unknown requirement"))</f>
        <v/>
      </c>
      <c r="D174" s="13"/>
      <c r="E174" s="13"/>
      <c r="F174" s="13"/>
      <c r="G174" s="13"/>
      <c r="H174" s="12"/>
      <c r="I174" s="12"/>
      <c r="J174" s="12"/>
      <c r="K174" s="13"/>
      <c r="L174" s="13"/>
      <c r="M174" s="14"/>
      <c r="N174" s="13"/>
      <c r="O174" s="13"/>
      <c r="P174" s="12"/>
    </row>
    <row r="175" customFormat="false" ht="19.5" hidden="false" customHeight="true" outlineLevel="0" collapsed="false">
      <c r="A175" s="13"/>
      <c r="B175" s="13"/>
      <c r="C175" s="31" t="str">
        <f aca="false">IF(B175="","",IFERROR(INDEX(Requirements!$C$5:$C$64,MATCH(B175,Requirements!$A$5:$A$64,0)),"Unknown requirement"))</f>
        <v/>
      </c>
      <c r="D175" s="13"/>
      <c r="E175" s="13"/>
      <c r="F175" s="13"/>
      <c r="G175" s="13"/>
      <c r="H175" s="12"/>
      <c r="I175" s="12"/>
      <c r="J175" s="12"/>
      <c r="K175" s="13"/>
      <c r="L175" s="13"/>
      <c r="M175" s="14"/>
      <c r="N175" s="13"/>
      <c r="O175" s="13"/>
      <c r="P175" s="12"/>
    </row>
    <row r="176" customFormat="false" ht="19.5" hidden="false" customHeight="true" outlineLevel="0" collapsed="false">
      <c r="A176" s="13"/>
      <c r="B176" s="13"/>
      <c r="C176" s="31" t="str">
        <f aca="false">IF(B176="","",IFERROR(INDEX(Requirements!$C$5:$C$64,MATCH(B176,Requirements!$A$5:$A$64,0)),"Unknown requirement"))</f>
        <v/>
      </c>
      <c r="D176" s="13"/>
      <c r="E176" s="13"/>
      <c r="F176" s="13"/>
      <c r="G176" s="13"/>
      <c r="H176" s="12"/>
      <c r="I176" s="12"/>
      <c r="J176" s="12"/>
      <c r="K176" s="13"/>
      <c r="L176" s="13"/>
      <c r="M176" s="14"/>
      <c r="N176" s="13"/>
      <c r="O176" s="13"/>
      <c r="P176" s="12"/>
    </row>
    <row r="177" customFormat="false" ht="19.5" hidden="false" customHeight="true" outlineLevel="0" collapsed="false">
      <c r="A177" s="13"/>
      <c r="B177" s="13"/>
      <c r="C177" s="31" t="str">
        <f aca="false">IF(B177="","",IFERROR(INDEX(Requirements!$C$5:$C$64,MATCH(B177,Requirements!$A$5:$A$64,0)),"Unknown requirement"))</f>
        <v/>
      </c>
      <c r="D177" s="13"/>
      <c r="E177" s="13"/>
      <c r="F177" s="13"/>
      <c r="G177" s="13"/>
      <c r="H177" s="12"/>
      <c r="I177" s="12"/>
      <c r="J177" s="12"/>
      <c r="K177" s="13"/>
      <c r="L177" s="13"/>
      <c r="M177" s="14"/>
      <c r="N177" s="13"/>
      <c r="O177" s="13"/>
      <c r="P177" s="12"/>
    </row>
    <row r="178" customFormat="false" ht="19.5" hidden="false" customHeight="true" outlineLevel="0" collapsed="false">
      <c r="A178" s="13"/>
      <c r="B178" s="13"/>
      <c r="C178" s="31" t="str">
        <f aca="false">IF(B178="","",IFERROR(INDEX(Requirements!$C$5:$C$64,MATCH(B178,Requirements!$A$5:$A$64,0)),"Unknown requirement"))</f>
        <v/>
      </c>
      <c r="D178" s="13"/>
      <c r="E178" s="13"/>
      <c r="F178" s="13"/>
      <c r="G178" s="13"/>
      <c r="H178" s="12"/>
      <c r="I178" s="12"/>
      <c r="J178" s="12"/>
      <c r="K178" s="13"/>
      <c r="L178" s="13"/>
      <c r="M178" s="14"/>
      <c r="N178" s="13"/>
      <c r="O178" s="13"/>
      <c r="P178" s="12"/>
    </row>
    <row r="179" customFormat="false" ht="19.5" hidden="false" customHeight="true" outlineLevel="0" collapsed="false">
      <c r="A179" s="13"/>
      <c r="B179" s="13"/>
      <c r="C179" s="31" t="str">
        <f aca="false">IF(B179="","",IFERROR(INDEX(Requirements!$C$5:$C$64,MATCH(B179,Requirements!$A$5:$A$64,0)),"Unknown requirement"))</f>
        <v/>
      </c>
      <c r="D179" s="13"/>
      <c r="E179" s="13"/>
      <c r="F179" s="13"/>
      <c r="G179" s="13"/>
      <c r="H179" s="12"/>
      <c r="I179" s="12"/>
      <c r="J179" s="12"/>
      <c r="K179" s="13"/>
      <c r="L179" s="13"/>
      <c r="M179" s="14"/>
      <c r="N179" s="13"/>
      <c r="O179" s="13"/>
      <c r="P179" s="12"/>
    </row>
    <row r="180" customFormat="false" ht="19.5" hidden="false" customHeight="true" outlineLevel="0" collapsed="false">
      <c r="A180" s="13"/>
      <c r="B180" s="13"/>
      <c r="C180" s="31" t="str">
        <f aca="false">IF(B180="","",IFERROR(INDEX(Requirements!$C$5:$C$64,MATCH(B180,Requirements!$A$5:$A$64,0)),"Unknown requirement"))</f>
        <v/>
      </c>
      <c r="D180" s="13"/>
      <c r="E180" s="13"/>
      <c r="F180" s="13"/>
      <c r="G180" s="13"/>
      <c r="H180" s="12"/>
      <c r="I180" s="12"/>
      <c r="J180" s="12"/>
      <c r="K180" s="13"/>
      <c r="L180" s="13"/>
      <c r="M180" s="14"/>
      <c r="N180" s="13"/>
      <c r="O180" s="13"/>
      <c r="P180" s="12"/>
    </row>
    <row r="181" customFormat="false" ht="19.5" hidden="false" customHeight="true" outlineLevel="0" collapsed="false">
      <c r="A181" s="13"/>
      <c r="B181" s="13"/>
      <c r="C181" s="31" t="str">
        <f aca="false">IF(B181="","",IFERROR(INDEX(Requirements!$C$5:$C$64,MATCH(B181,Requirements!$A$5:$A$64,0)),"Unknown requirement"))</f>
        <v/>
      </c>
      <c r="D181" s="13"/>
      <c r="E181" s="13"/>
      <c r="F181" s="13"/>
      <c r="G181" s="13"/>
      <c r="H181" s="12"/>
      <c r="I181" s="12"/>
      <c r="J181" s="12"/>
      <c r="K181" s="13"/>
      <c r="L181" s="13"/>
      <c r="M181" s="14"/>
      <c r="N181" s="13"/>
      <c r="O181" s="13"/>
      <c r="P181" s="12"/>
    </row>
    <row r="182" customFormat="false" ht="19.5" hidden="false" customHeight="true" outlineLevel="0" collapsed="false">
      <c r="A182" s="13"/>
      <c r="B182" s="13"/>
      <c r="C182" s="31" t="str">
        <f aca="false">IF(B182="","",IFERROR(INDEX(Requirements!$C$5:$C$64,MATCH(B182,Requirements!$A$5:$A$64,0)),"Unknown requirement"))</f>
        <v/>
      </c>
      <c r="D182" s="13"/>
      <c r="E182" s="13"/>
      <c r="F182" s="13"/>
      <c r="G182" s="13"/>
      <c r="H182" s="12"/>
      <c r="I182" s="12"/>
      <c r="J182" s="12"/>
      <c r="K182" s="13"/>
      <c r="L182" s="13"/>
      <c r="M182" s="14"/>
      <c r="N182" s="13"/>
      <c r="O182" s="13"/>
      <c r="P182" s="12"/>
    </row>
    <row r="183" customFormat="false" ht="19.5" hidden="false" customHeight="true" outlineLevel="0" collapsed="false">
      <c r="A183" s="13"/>
      <c r="B183" s="13"/>
      <c r="C183" s="31" t="str">
        <f aca="false">IF(B183="","",IFERROR(INDEX(Requirements!$C$5:$C$64,MATCH(B183,Requirements!$A$5:$A$64,0)),"Unknown requirement"))</f>
        <v/>
      </c>
      <c r="D183" s="13"/>
      <c r="E183" s="13"/>
      <c r="F183" s="13"/>
      <c r="G183" s="13"/>
      <c r="H183" s="12"/>
      <c r="I183" s="12"/>
      <c r="J183" s="12"/>
      <c r="K183" s="13"/>
      <c r="L183" s="13"/>
      <c r="M183" s="14"/>
      <c r="N183" s="13"/>
      <c r="O183" s="13"/>
      <c r="P183" s="12"/>
    </row>
    <row r="184" customFormat="false" ht="19.5" hidden="false" customHeight="true" outlineLevel="0" collapsed="false">
      <c r="A184" s="13"/>
      <c r="B184" s="13"/>
      <c r="C184" s="31" t="str">
        <f aca="false">IF(B184="","",IFERROR(INDEX(Requirements!$C$5:$C$64,MATCH(B184,Requirements!$A$5:$A$64,0)),"Unknown requirement"))</f>
        <v/>
      </c>
      <c r="D184" s="13"/>
      <c r="E184" s="13"/>
      <c r="F184" s="13"/>
      <c r="G184" s="13"/>
      <c r="H184" s="12"/>
      <c r="I184" s="12"/>
      <c r="J184" s="12"/>
      <c r="K184" s="13"/>
      <c r="L184" s="13"/>
      <c r="M184" s="14"/>
      <c r="N184" s="13"/>
      <c r="O184" s="13"/>
      <c r="P184" s="12"/>
    </row>
    <row r="185" customFormat="false" ht="19.5" hidden="false" customHeight="true" outlineLevel="0" collapsed="false">
      <c r="A185" s="13"/>
      <c r="B185" s="13"/>
      <c r="C185" s="31" t="str">
        <f aca="false">IF(B185="","",IFERROR(INDEX(Requirements!$C$5:$C$64,MATCH(B185,Requirements!$A$5:$A$64,0)),"Unknown requirement"))</f>
        <v/>
      </c>
      <c r="D185" s="13"/>
      <c r="E185" s="13"/>
      <c r="F185" s="13"/>
      <c r="G185" s="13"/>
      <c r="H185" s="12"/>
      <c r="I185" s="12"/>
      <c r="J185" s="12"/>
      <c r="K185" s="13"/>
      <c r="L185" s="13"/>
      <c r="M185" s="14"/>
      <c r="N185" s="13"/>
      <c r="O185" s="13"/>
      <c r="P185" s="12"/>
    </row>
    <row r="186" customFormat="false" ht="19.5" hidden="false" customHeight="true" outlineLevel="0" collapsed="false">
      <c r="A186" s="13"/>
      <c r="B186" s="13"/>
      <c r="C186" s="31" t="str">
        <f aca="false">IF(B186="","",IFERROR(INDEX(Requirements!$C$5:$C$64,MATCH(B186,Requirements!$A$5:$A$64,0)),"Unknown requirement"))</f>
        <v/>
      </c>
      <c r="D186" s="13"/>
      <c r="E186" s="13"/>
      <c r="F186" s="13"/>
      <c r="G186" s="13"/>
      <c r="H186" s="12"/>
      <c r="I186" s="12"/>
      <c r="J186" s="12"/>
      <c r="K186" s="13"/>
      <c r="L186" s="13"/>
      <c r="M186" s="14"/>
      <c r="N186" s="13"/>
      <c r="O186" s="13"/>
      <c r="P186" s="12"/>
    </row>
    <row r="187" customFormat="false" ht="19.5" hidden="false" customHeight="true" outlineLevel="0" collapsed="false">
      <c r="A187" s="13"/>
      <c r="B187" s="13"/>
      <c r="C187" s="31" t="str">
        <f aca="false">IF(B187="","",IFERROR(INDEX(Requirements!$C$5:$C$64,MATCH(B187,Requirements!$A$5:$A$64,0)),"Unknown requirement"))</f>
        <v/>
      </c>
      <c r="D187" s="13"/>
      <c r="E187" s="13"/>
      <c r="F187" s="13"/>
      <c r="G187" s="13"/>
      <c r="H187" s="12"/>
      <c r="I187" s="12"/>
      <c r="J187" s="12"/>
      <c r="K187" s="13"/>
      <c r="L187" s="13"/>
      <c r="M187" s="14"/>
      <c r="N187" s="13"/>
      <c r="O187" s="13"/>
      <c r="P187" s="12"/>
    </row>
    <row r="188" customFormat="false" ht="19.5" hidden="false" customHeight="true" outlineLevel="0" collapsed="false">
      <c r="A188" s="13"/>
      <c r="B188" s="13"/>
      <c r="C188" s="31" t="str">
        <f aca="false">IF(B188="","",IFERROR(INDEX(Requirements!$C$5:$C$64,MATCH(B188,Requirements!$A$5:$A$64,0)),"Unknown requirement"))</f>
        <v/>
      </c>
      <c r="D188" s="13"/>
      <c r="E188" s="13"/>
      <c r="F188" s="13"/>
      <c r="G188" s="13"/>
      <c r="H188" s="12"/>
      <c r="I188" s="12"/>
      <c r="J188" s="12"/>
      <c r="K188" s="13"/>
      <c r="L188" s="13"/>
      <c r="M188" s="14"/>
      <c r="N188" s="13"/>
      <c r="O188" s="13"/>
      <c r="P188" s="12"/>
    </row>
    <row r="189" customFormat="false" ht="19.5" hidden="false" customHeight="true" outlineLevel="0" collapsed="false">
      <c r="A189" s="13"/>
      <c r="B189" s="13"/>
      <c r="C189" s="31" t="str">
        <f aca="false">IF(B189="","",IFERROR(INDEX(Requirements!$C$5:$C$64,MATCH(B189,Requirements!$A$5:$A$64,0)),"Unknown requirement"))</f>
        <v/>
      </c>
      <c r="D189" s="13"/>
      <c r="E189" s="13"/>
      <c r="F189" s="13"/>
      <c r="G189" s="13"/>
      <c r="H189" s="12"/>
      <c r="I189" s="12"/>
      <c r="J189" s="12"/>
      <c r="K189" s="13"/>
      <c r="L189" s="13"/>
      <c r="M189" s="14"/>
      <c r="N189" s="13"/>
      <c r="O189" s="13"/>
      <c r="P189" s="12"/>
    </row>
    <row r="190" customFormat="false" ht="19.5" hidden="false" customHeight="true" outlineLevel="0" collapsed="false">
      <c r="A190" s="13"/>
      <c r="B190" s="13"/>
      <c r="C190" s="31" t="str">
        <f aca="false">IF(B190="","",IFERROR(INDEX(Requirements!$C$5:$C$64,MATCH(B190,Requirements!$A$5:$A$64,0)),"Unknown requirement"))</f>
        <v/>
      </c>
      <c r="D190" s="13"/>
      <c r="E190" s="13"/>
      <c r="F190" s="13"/>
      <c r="G190" s="13"/>
      <c r="H190" s="12"/>
      <c r="I190" s="12"/>
      <c r="J190" s="12"/>
      <c r="K190" s="13"/>
      <c r="L190" s="13"/>
      <c r="M190" s="14"/>
      <c r="N190" s="13"/>
      <c r="O190" s="13"/>
      <c r="P190" s="12"/>
    </row>
    <row r="191" customFormat="false" ht="19.5" hidden="false" customHeight="true" outlineLevel="0" collapsed="false">
      <c r="A191" s="13"/>
      <c r="B191" s="13"/>
      <c r="C191" s="31" t="str">
        <f aca="false">IF(B191="","",IFERROR(INDEX(Requirements!$C$5:$C$64,MATCH(B191,Requirements!$A$5:$A$64,0)),"Unknown requirement"))</f>
        <v/>
      </c>
      <c r="D191" s="13"/>
      <c r="E191" s="13"/>
      <c r="F191" s="13"/>
      <c r="G191" s="13"/>
      <c r="H191" s="12"/>
      <c r="I191" s="12"/>
      <c r="J191" s="12"/>
      <c r="K191" s="13"/>
      <c r="L191" s="13"/>
      <c r="M191" s="14"/>
      <c r="N191" s="13"/>
      <c r="O191" s="13"/>
      <c r="P191" s="12"/>
    </row>
    <row r="192" customFormat="false" ht="19.5" hidden="false" customHeight="true" outlineLevel="0" collapsed="false">
      <c r="A192" s="13"/>
      <c r="B192" s="13"/>
      <c r="C192" s="31" t="str">
        <f aca="false">IF(B192="","",IFERROR(INDEX(Requirements!$C$5:$C$64,MATCH(B192,Requirements!$A$5:$A$64,0)),"Unknown requirement"))</f>
        <v/>
      </c>
      <c r="D192" s="13"/>
      <c r="E192" s="13"/>
      <c r="F192" s="13"/>
      <c r="G192" s="13"/>
      <c r="H192" s="12"/>
      <c r="I192" s="12"/>
      <c r="J192" s="12"/>
      <c r="K192" s="13"/>
      <c r="L192" s="13"/>
      <c r="M192" s="14"/>
      <c r="N192" s="13"/>
      <c r="O192" s="13"/>
      <c r="P192" s="12"/>
    </row>
    <row r="193" customFormat="false" ht="19.5" hidden="false" customHeight="true" outlineLevel="0" collapsed="false">
      <c r="A193" s="13"/>
      <c r="B193" s="13"/>
      <c r="C193" s="31" t="str">
        <f aca="false">IF(B193="","",IFERROR(INDEX(Requirements!$C$5:$C$64,MATCH(B193,Requirements!$A$5:$A$64,0)),"Unknown requirement"))</f>
        <v/>
      </c>
      <c r="D193" s="13"/>
      <c r="E193" s="13"/>
      <c r="F193" s="13"/>
      <c r="G193" s="13"/>
      <c r="H193" s="12"/>
      <c r="I193" s="12"/>
      <c r="J193" s="12"/>
      <c r="K193" s="13"/>
      <c r="L193" s="13"/>
      <c r="M193" s="14"/>
      <c r="N193" s="13"/>
      <c r="O193" s="13"/>
      <c r="P193" s="12"/>
    </row>
    <row r="194" customFormat="false" ht="19.5" hidden="false" customHeight="true" outlineLevel="0" collapsed="false">
      <c r="A194" s="13"/>
      <c r="B194" s="13"/>
      <c r="C194" s="31" t="str">
        <f aca="false">IF(B194="","",IFERROR(INDEX(Requirements!$C$5:$C$64,MATCH(B194,Requirements!$A$5:$A$64,0)),"Unknown requirement"))</f>
        <v/>
      </c>
      <c r="D194" s="13"/>
      <c r="E194" s="13"/>
      <c r="F194" s="13"/>
      <c r="G194" s="13"/>
      <c r="H194" s="12"/>
      <c r="I194" s="12"/>
      <c r="J194" s="12"/>
      <c r="K194" s="13"/>
      <c r="L194" s="13"/>
      <c r="M194" s="14"/>
      <c r="N194" s="13"/>
      <c r="O194" s="13"/>
      <c r="P194" s="12"/>
    </row>
    <row r="195" customFormat="false" ht="19.5" hidden="false" customHeight="true" outlineLevel="0" collapsed="false">
      <c r="A195" s="13"/>
      <c r="B195" s="13"/>
      <c r="C195" s="31" t="str">
        <f aca="false">IF(B195="","",IFERROR(INDEX(Requirements!$C$5:$C$64,MATCH(B195,Requirements!$A$5:$A$64,0)),"Unknown requirement"))</f>
        <v/>
      </c>
      <c r="D195" s="13"/>
      <c r="E195" s="13"/>
      <c r="F195" s="13"/>
      <c r="G195" s="13"/>
      <c r="H195" s="12"/>
      <c r="I195" s="12"/>
      <c r="J195" s="12"/>
      <c r="K195" s="13"/>
      <c r="L195" s="13"/>
      <c r="M195" s="14"/>
      <c r="N195" s="13"/>
      <c r="O195" s="13"/>
      <c r="P195" s="12"/>
    </row>
    <row r="196" customFormat="false" ht="19.5" hidden="false" customHeight="true" outlineLevel="0" collapsed="false">
      <c r="A196" s="13"/>
      <c r="B196" s="13"/>
      <c r="C196" s="31" t="str">
        <f aca="false">IF(B196="","",IFERROR(INDEX(Requirements!$C$5:$C$64,MATCH(B196,Requirements!$A$5:$A$64,0)),"Unknown requirement"))</f>
        <v/>
      </c>
      <c r="D196" s="13"/>
      <c r="E196" s="13"/>
      <c r="F196" s="13"/>
      <c r="G196" s="13"/>
      <c r="H196" s="12"/>
      <c r="I196" s="12"/>
      <c r="J196" s="12"/>
      <c r="K196" s="13"/>
      <c r="L196" s="13"/>
      <c r="M196" s="14"/>
      <c r="N196" s="13"/>
      <c r="O196" s="13"/>
      <c r="P196" s="12"/>
    </row>
    <row r="197" customFormat="false" ht="19.5" hidden="false" customHeight="true" outlineLevel="0" collapsed="false">
      <c r="A197" s="13"/>
      <c r="B197" s="13"/>
      <c r="C197" s="31" t="str">
        <f aca="false">IF(B197="","",IFERROR(INDEX(Requirements!$C$5:$C$64,MATCH(B197,Requirements!$A$5:$A$64,0)),"Unknown requirement"))</f>
        <v/>
      </c>
      <c r="D197" s="13"/>
      <c r="E197" s="13"/>
      <c r="F197" s="13"/>
      <c r="G197" s="13"/>
      <c r="H197" s="12"/>
      <c r="I197" s="12"/>
      <c r="J197" s="12"/>
      <c r="K197" s="13"/>
      <c r="L197" s="13"/>
      <c r="M197" s="14"/>
      <c r="N197" s="13"/>
      <c r="O197" s="13"/>
      <c r="P197" s="12"/>
    </row>
    <row r="198" customFormat="false" ht="19.5" hidden="false" customHeight="true" outlineLevel="0" collapsed="false">
      <c r="A198" s="13"/>
      <c r="B198" s="13"/>
      <c r="C198" s="31" t="str">
        <f aca="false">IF(B198="","",IFERROR(INDEX(Requirements!$C$5:$C$64,MATCH(B198,Requirements!$A$5:$A$64,0)),"Unknown requirement"))</f>
        <v/>
      </c>
      <c r="D198" s="13"/>
      <c r="E198" s="13"/>
      <c r="F198" s="13"/>
      <c r="G198" s="13"/>
      <c r="H198" s="12"/>
      <c r="I198" s="12"/>
      <c r="J198" s="12"/>
      <c r="K198" s="13"/>
      <c r="L198" s="13"/>
      <c r="M198" s="14"/>
      <c r="N198" s="13"/>
      <c r="O198" s="13"/>
      <c r="P198" s="12"/>
    </row>
    <row r="199" customFormat="false" ht="19.5" hidden="false" customHeight="true" outlineLevel="0" collapsed="false">
      <c r="A199" s="13"/>
      <c r="B199" s="13"/>
      <c r="C199" s="31" t="str">
        <f aca="false">IF(B199="","",IFERROR(INDEX(Requirements!$C$5:$C$64,MATCH(B199,Requirements!$A$5:$A$64,0)),"Unknown requirement"))</f>
        <v/>
      </c>
      <c r="D199" s="13"/>
      <c r="E199" s="13"/>
      <c r="F199" s="13"/>
      <c r="G199" s="13"/>
      <c r="H199" s="12"/>
      <c r="I199" s="12"/>
      <c r="J199" s="12"/>
      <c r="K199" s="13"/>
      <c r="L199" s="13"/>
      <c r="M199" s="14"/>
      <c r="N199" s="13"/>
      <c r="O199" s="13"/>
      <c r="P199" s="12"/>
    </row>
    <row r="200" customFormat="false" ht="19.5" hidden="false" customHeight="true" outlineLevel="0" collapsed="false">
      <c r="A200" s="13"/>
      <c r="B200" s="13"/>
      <c r="C200" s="31" t="str">
        <f aca="false">IF(B200="","",IFERROR(INDEX(Requirements!$C$5:$C$64,MATCH(B200,Requirements!$A$5:$A$64,0)),"Unknown requirement"))</f>
        <v/>
      </c>
      <c r="D200" s="13"/>
      <c r="E200" s="13"/>
      <c r="F200" s="13"/>
      <c r="G200" s="13"/>
      <c r="H200" s="12"/>
      <c r="I200" s="12"/>
      <c r="J200" s="12"/>
      <c r="K200" s="13"/>
      <c r="L200" s="13"/>
      <c r="M200" s="14"/>
      <c r="N200" s="13"/>
      <c r="O200" s="13"/>
      <c r="P200" s="12"/>
    </row>
    <row r="201" customFormat="false" ht="19.5" hidden="false" customHeight="true" outlineLevel="0" collapsed="false">
      <c r="A201" s="13"/>
      <c r="B201" s="13"/>
      <c r="C201" s="31" t="str">
        <f aca="false">IF(B201="","",IFERROR(INDEX(Requirements!$C$5:$C$64,MATCH(B201,Requirements!$A$5:$A$64,0)),"Unknown requirement"))</f>
        <v/>
      </c>
      <c r="D201" s="13"/>
      <c r="E201" s="13"/>
      <c r="F201" s="13"/>
      <c r="G201" s="13"/>
      <c r="H201" s="12"/>
      <c r="I201" s="12"/>
      <c r="J201" s="12"/>
      <c r="K201" s="13"/>
      <c r="L201" s="13"/>
      <c r="M201" s="14"/>
      <c r="N201" s="13"/>
      <c r="O201" s="13"/>
      <c r="P201" s="12"/>
    </row>
    <row r="202" customFormat="false" ht="19.5" hidden="false" customHeight="true" outlineLevel="0" collapsed="false">
      <c r="A202" s="13"/>
      <c r="B202" s="13"/>
      <c r="C202" s="31" t="str">
        <f aca="false">IF(B202="","",IFERROR(INDEX(Requirements!$C$5:$C$64,MATCH(B202,Requirements!$A$5:$A$64,0)),"Unknown requirement"))</f>
        <v/>
      </c>
      <c r="D202" s="13"/>
      <c r="E202" s="13"/>
      <c r="F202" s="13"/>
      <c r="G202" s="13"/>
      <c r="H202" s="12"/>
      <c r="I202" s="12"/>
      <c r="J202" s="12"/>
      <c r="K202" s="13"/>
      <c r="L202" s="13"/>
      <c r="M202" s="14"/>
      <c r="N202" s="13"/>
      <c r="O202" s="13"/>
      <c r="P202" s="12"/>
    </row>
    <row r="203" customFormat="false" ht="19.5" hidden="false" customHeight="true" outlineLevel="0" collapsed="false">
      <c r="A203" s="13"/>
      <c r="B203" s="13"/>
      <c r="C203" s="31" t="str">
        <f aca="false">IF(B203="","",IFERROR(INDEX(Requirements!$C$5:$C$64,MATCH(B203,Requirements!$A$5:$A$64,0)),"Unknown requirement"))</f>
        <v/>
      </c>
      <c r="D203" s="13"/>
      <c r="E203" s="13"/>
      <c r="F203" s="13"/>
      <c r="G203" s="13"/>
      <c r="H203" s="12"/>
      <c r="I203" s="12"/>
      <c r="J203" s="12"/>
      <c r="K203" s="13"/>
      <c r="L203" s="13"/>
      <c r="M203" s="14"/>
      <c r="N203" s="13"/>
      <c r="O203" s="13"/>
      <c r="P203" s="12"/>
    </row>
    <row r="204" customFormat="false" ht="19.5" hidden="false" customHeight="true" outlineLevel="0" collapsed="false">
      <c r="A204" s="13"/>
      <c r="B204" s="13"/>
      <c r="C204" s="31" t="str">
        <f aca="false">IF(B204="","",IFERROR(INDEX(Requirements!$C$5:$C$64,MATCH(B204,Requirements!$A$5:$A$64,0)),"Unknown requirement"))</f>
        <v/>
      </c>
      <c r="D204" s="13"/>
      <c r="E204" s="13"/>
      <c r="F204" s="13"/>
      <c r="G204" s="13"/>
      <c r="H204" s="12"/>
      <c r="I204" s="12"/>
      <c r="J204" s="12"/>
      <c r="K204" s="13"/>
      <c r="L204" s="13"/>
      <c r="M204" s="14"/>
      <c r="N204" s="13"/>
      <c r="O204" s="13"/>
      <c r="P204" s="12"/>
    </row>
  </sheetData>
  <autoFilter ref="A4:P204"/>
  <conditionalFormatting sqref="L5:L204">
    <cfRule type="cellIs" priority="2" operator="equal" aboveAverage="0" equalAverage="0" bottom="0" percent="0" rank="0" text="" dxfId="0">
      <formula>"Passed"</formula>
    </cfRule>
    <cfRule type="cellIs" priority="3" operator="equal" aboveAverage="0" equalAverage="0" bottom="0" percent="0" rank="0" text="" dxfId="4">
      <formula>"Failed"</formula>
    </cfRule>
    <cfRule type="cellIs" priority="4" operator="equal" aboveAverage="0" equalAverage="0" bottom="0" percent="0" rank="0" text="" dxfId="3">
      <formula>"Blocked"</formula>
    </cfRule>
    <cfRule type="cellIs" priority="5" operator="equal" aboveAverage="0" equalAverage="0" bottom="0" percent="0" rank="0" text="" dxfId="2">
      <formula>"Not Run"</formula>
    </cfRule>
  </conditionalFormatting>
  <conditionalFormatting sqref="C5:C204">
    <cfRule type="cellIs" priority="6" operator="equal" aboveAverage="0" equalAverage="0" bottom="0" percent="0" rank="0" text="" dxfId="4">
      <formula>"Unknown requirement"</formula>
    </cfRule>
  </conditionalFormatting>
  <dataValidations count="6">
    <dataValidation allowBlank="true" errorStyle="stop" operator="between" showDropDown="false" showErrorMessage="false" showInputMessage="false" sqref="F5:F204" type="list">
      <formula1>"Functional,Integration,Security,Regression,Data,Accessibility,Performance,UAT"</formula1>
      <formula2>0</formula2>
    </dataValidation>
    <dataValidation allowBlank="true" errorStyle="stop" operator="between" showDropDown="false" showErrorMessage="false" showInputMessage="false" sqref="G5:G204" type="list">
      <formula1>"SIT,UAT,NFR,Security"</formula1>
      <formula2>0</formula2>
    </dataValidation>
    <dataValidation allowBlank="true" errorStyle="stop" operator="between" showDropDown="false" showErrorMessage="false" showInputMessage="false" sqref="L5:L204" type="list">
      <formula1>"Not Run,Passed,Failed,Blocked"</formula1>
      <formula2>0</formula2>
    </dataValidation>
    <dataValidation allowBlank="true" errorStyle="stop" operator="between" showDropDown="false" showErrorMessage="false" showInputMessage="false" sqref="N5:N204" type="list">
      <formula1>"SIT,UAT,Perf"</formula1>
      <formula2>0</formula2>
    </dataValidation>
    <dataValidation allowBlank="true" errorStyle="stop" operator="between" showDropDown="false" showErrorMessage="false" showInputMessage="false" sqref="B5:B204" type="list">
      <formula1>Requirements!$A$5:$A$64</formula1>
      <formula2>0</formula2>
    </dataValidation>
    <dataValidation allowBlank="true" errorStyle="stop" operator="between" showDropDown="false" showErrorMessage="false" showInputMessage="false" sqref="E5:E204" type="list">
      <formula1>Controls!$A$5:$A$34</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18"/>
    <col collapsed="false" customWidth="true" hidden="false" outlineLevel="0" max="3" min="3" style="0" width="40"/>
    <col collapsed="false" customWidth="true" hidden="false" outlineLevel="0" max="4" min="4" style="0" width="14"/>
    <col collapsed="false" customWidth="true" hidden="false" outlineLevel="0" max="5" min="5" style="0" width="34"/>
    <col collapsed="false" customWidth="true" hidden="false" outlineLevel="0" max="6" min="6" style="0" width="22"/>
    <col collapsed="false" customWidth="true" hidden="false" outlineLevel="0" max="7" min="7" style="0" width="16"/>
    <col collapsed="false" customWidth="true" hidden="false" outlineLevel="0" max="10" min="8" style="0" width="8"/>
    <col collapsed="false" customWidth="true" hidden="false" outlineLevel="0" max="11" min="11" style="0" width="15"/>
    <col collapsed="false" customWidth="true" hidden="false" outlineLevel="0" max="12" min="12" style="0" width="12"/>
    <col collapsed="false" customWidth="true" hidden="false" outlineLevel="0" max="13" min="13" style="0" width="36"/>
  </cols>
  <sheetData>
    <row r="1" customFormat="false" ht="19.7" hidden="false" customHeight="false" outlineLevel="0" collapsed="false">
      <c r="A1" s="25" t="s">
        <v>605</v>
      </c>
    </row>
    <row r="2" customFormat="false" ht="15" hidden="false" customHeight="false" outlineLevel="0" collapsed="false">
      <c r="A2" s="16" t="s">
        <v>606</v>
      </c>
    </row>
    <row r="3" customFormat="false" ht="15" hidden="false" customHeight="false" outlineLevel="0" collapsed="false">
      <c r="A3" s="26" t="s">
        <v>119</v>
      </c>
    </row>
    <row r="4" customFormat="false" ht="39.75" hidden="false" customHeight="true" outlineLevel="0" collapsed="false">
      <c r="A4" s="27" t="s">
        <v>112</v>
      </c>
      <c r="B4" s="27" t="s">
        <v>113</v>
      </c>
      <c r="C4" s="27" t="s">
        <v>607</v>
      </c>
      <c r="D4" s="27" t="s">
        <v>608</v>
      </c>
      <c r="E4" s="27" t="s">
        <v>609</v>
      </c>
      <c r="F4" s="27" t="s">
        <v>610</v>
      </c>
      <c r="G4" s="27" t="s">
        <v>611</v>
      </c>
      <c r="H4" s="28" t="s">
        <v>128</v>
      </c>
      <c r="I4" s="28" t="s">
        <v>102</v>
      </c>
      <c r="J4" s="28" t="s">
        <v>103</v>
      </c>
      <c r="K4" s="28" t="s">
        <v>612</v>
      </c>
      <c r="L4" s="27" t="s">
        <v>613</v>
      </c>
      <c r="M4" s="27" t="s">
        <v>132</v>
      </c>
    </row>
    <row r="5" customFormat="false" ht="45" hidden="false" customHeight="true" outlineLevel="0" collapsed="false">
      <c r="A5" s="13" t="s">
        <v>203</v>
      </c>
      <c r="B5" s="12" t="s">
        <v>614</v>
      </c>
      <c r="C5" s="12" t="s">
        <v>615</v>
      </c>
      <c r="D5" s="13" t="s">
        <v>616</v>
      </c>
      <c r="E5" s="12" t="s">
        <v>617</v>
      </c>
      <c r="F5" s="12" t="s">
        <v>618</v>
      </c>
      <c r="G5" s="12" t="s">
        <v>162</v>
      </c>
      <c r="H5" s="29" t="n">
        <f aca="false">IF(A5="","",COUNTIFS('Test Cases'!$E$5:$E$204,A5))</f>
        <v>5</v>
      </c>
      <c r="I5" s="29" t="n">
        <f aca="false">IF(A5="","",COUNTIFS('Test Cases'!$E$5:$E$204,A5,'Test Cases'!$L$5:$L$204,"Passed"))</f>
        <v>0</v>
      </c>
      <c r="J5" s="29" t="n">
        <f aca="false">IF(A5="","",COUNTIFS('Test Cases'!$E$5:$E$204,A5,'Test Cases'!$L$5:$L$204,"Failed"))</f>
        <v>0</v>
      </c>
      <c r="K5" s="30" t="str">
        <f aca="false">IF(A5="","",IF(H5=0,"No test coverage",IF(J5&gt;0,"Failing",IF(I5=H5,"Evidenced",IF(I5&gt;0,"Partially evidenced","Not yet tested")))))</f>
        <v>Not yet tested</v>
      </c>
      <c r="L5" s="13" t="s">
        <v>143</v>
      </c>
      <c r="M5" s="12" t="s">
        <v>619</v>
      </c>
    </row>
    <row r="6" customFormat="false" ht="31.5" hidden="false" customHeight="true" outlineLevel="0" collapsed="false">
      <c r="A6" s="13" t="s">
        <v>229</v>
      </c>
      <c r="B6" s="12" t="s">
        <v>620</v>
      </c>
      <c r="C6" s="12" t="s">
        <v>621</v>
      </c>
      <c r="D6" s="13" t="s">
        <v>622</v>
      </c>
      <c r="E6" s="12" t="s">
        <v>623</v>
      </c>
      <c r="F6" s="12" t="s">
        <v>624</v>
      </c>
      <c r="G6" s="12" t="s">
        <v>625</v>
      </c>
      <c r="H6" s="29" t="n">
        <f aca="false">IF(A6="","",COUNTIFS('Test Cases'!$E$5:$E$204,A6))</f>
        <v>2</v>
      </c>
      <c r="I6" s="29" t="n">
        <f aca="false">IF(A6="","",COUNTIFS('Test Cases'!$E$5:$E$204,A6,'Test Cases'!$L$5:$L$204,"Passed"))</f>
        <v>0</v>
      </c>
      <c r="J6" s="29" t="n">
        <f aca="false">IF(A6="","",COUNTIFS('Test Cases'!$E$5:$E$204,A6,'Test Cases'!$L$5:$L$204,"Failed"))</f>
        <v>0</v>
      </c>
      <c r="K6" s="30" t="str">
        <f aca="false">IF(A6="","",IF(H6=0,"No test coverage",IF(J6&gt;0,"Failing",IF(I6=H6,"Evidenced",IF(I6&gt;0,"Partially evidenced","Not yet tested")))))</f>
        <v>Not yet tested</v>
      </c>
      <c r="L6" s="13" t="s">
        <v>143</v>
      </c>
      <c r="M6" s="12"/>
    </row>
    <row r="7" customFormat="false" ht="31.5" hidden="false" customHeight="true" outlineLevel="0" collapsed="false">
      <c r="A7" s="13" t="s">
        <v>222</v>
      </c>
      <c r="B7" s="12" t="s">
        <v>626</v>
      </c>
      <c r="C7" s="12" t="s">
        <v>627</v>
      </c>
      <c r="D7" s="13" t="s">
        <v>218</v>
      </c>
      <c r="E7" s="12" t="s">
        <v>628</v>
      </c>
      <c r="F7" s="12" t="s">
        <v>629</v>
      </c>
      <c r="G7" s="12" t="s">
        <v>162</v>
      </c>
      <c r="H7" s="29" t="n">
        <f aca="false">IF(A7="","",COUNTIFS('Test Cases'!$E$5:$E$204,A7))</f>
        <v>2</v>
      </c>
      <c r="I7" s="29" t="n">
        <f aca="false">IF(A7="","",COUNTIFS('Test Cases'!$E$5:$E$204,A7,'Test Cases'!$L$5:$L$204,"Passed"))</f>
        <v>0</v>
      </c>
      <c r="J7" s="29" t="n">
        <f aca="false">IF(A7="","",COUNTIFS('Test Cases'!$E$5:$E$204,A7,'Test Cases'!$L$5:$L$204,"Failed"))</f>
        <v>0</v>
      </c>
      <c r="K7" s="30" t="str">
        <f aca="false">IF(A7="","",IF(H7=0,"No test coverage",IF(J7&gt;0,"Failing",IF(I7=H7,"Evidenced",IF(I7&gt;0,"Partially evidenced","Not yet tested")))))</f>
        <v>Not yet tested</v>
      </c>
      <c r="L7" s="13" t="s">
        <v>143</v>
      </c>
      <c r="M7" s="12"/>
    </row>
    <row r="8" customFormat="false" ht="45" hidden="false" customHeight="true" outlineLevel="0" collapsed="false">
      <c r="A8" s="13" t="s">
        <v>195</v>
      </c>
      <c r="B8" s="12" t="s">
        <v>630</v>
      </c>
      <c r="C8" s="12" t="s">
        <v>631</v>
      </c>
      <c r="D8" s="13" t="s">
        <v>632</v>
      </c>
      <c r="E8" s="12" t="s">
        <v>633</v>
      </c>
      <c r="F8" s="12" t="s">
        <v>634</v>
      </c>
      <c r="G8" s="12" t="s">
        <v>635</v>
      </c>
      <c r="H8" s="29" t="n">
        <f aca="false">IF(A8="","",COUNTIFS('Test Cases'!$E$5:$E$204,A8))</f>
        <v>3</v>
      </c>
      <c r="I8" s="29" t="n">
        <f aca="false">IF(A8="","",COUNTIFS('Test Cases'!$E$5:$E$204,A8,'Test Cases'!$L$5:$L$204,"Passed"))</f>
        <v>0</v>
      </c>
      <c r="J8" s="29" t="n">
        <f aca="false">IF(A8="","",COUNTIFS('Test Cases'!$E$5:$E$204,A8,'Test Cases'!$L$5:$L$204,"Failed"))</f>
        <v>0</v>
      </c>
      <c r="K8" s="30" t="str">
        <f aca="false">IF(A8="","",IF(H8=0,"No test coverage",IF(J8&gt;0,"Failing",IF(I8=H8,"Evidenced",IF(I8&gt;0,"Partially evidenced","Not yet tested")))))</f>
        <v>Not yet tested</v>
      </c>
      <c r="L8" s="13" t="s">
        <v>143</v>
      </c>
      <c r="M8" s="12" t="s">
        <v>636</v>
      </c>
    </row>
    <row r="9" customFormat="false" ht="31.5" hidden="false" customHeight="true" outlineLevel="0" collapsed="false">
      <c r="A9" s="13" t="s">
        <v>150</v>
      </c>
      <c r="B9" s="12" t="s">
        <v>637</v>
      </c>
      <c r="C9" s="12" t="s">
        <v>638</v>
      </c>
      <c r="D9" s="13" t="s">
        <v>639</v>
      </c>
      <c r="E9" s="12" t="s">
        <v>640</v>
      </c>
      <c r="F9" s="12" t="s">
        <v>641</v>
      </c>
      <c r="G9" s="12" t="s">
        <v>625</v>
      </c>
      <c r="H9" s="29" t="n">
        <f aca="false">IF(A9="","",COUNTIFS('Test Cases'!$E$5:$E$204,A9))</f>
        <v>6</v>
      </c>
      <c r="I9" s="29" t="n">
        <f aca="false">IF(A9="","",COUNTIFS('Test Cases'!$E$5:$E$204,A9,'Test Cases'!$L$5:$L$204,"Passed"))</f>
        <v>2</v>
      </c>
      <c r="J9" s="29" t="n">
        <f aca="false">IF(A9="","",COUNTIFS('Test Cases'!$E$5:$E$204,A9,'Test Cases'!$L$5:$L$204,"Failed"))</f>
        <v>1</v>
      </c>
      <c r="K9" s="30" t="str">
        <f aca="false">IF(A9="","",IF(H9=0,"No test coverage",IF(J9&gt;0,"Failing",IF(I9=H9,"Evidenced",IF(I9&gt;0,"Partially evidenced","Not yet tested")))))</f>
        <v>Failing</v>
      </c>
      <c r="L9" s="13" t="s">
        <v>143</v>
      </c>
      <c r="M9" s="12"/>
    </row>
    <row r="10" customFormat="false" ht="45" hidden="false" customHeight="true" outlineLevel="0" collapsed="false">
      <c r="A10" s="13" t="s">
        <v>183</v>
      </c>
      <c r="B10" s="12" t="s">
        <v>642</v>
      </c>
      <c r="C10" s="12" t="s">
        <v>643</v>
      </c>
      <c r="D10" s="13" t="s">
        <v>644</v>
      </c>
      <c r="E10" s="12" t="s">
        <v>645</v>
      </c>
      <c r="F10" s="12" t="s">
        <v>646</v>
      </c>
      <c r="G10" s="12" t="s">
        <v>138</v>
      </c>
      <c r="H10" s="29" t="n">
        <f aca="false">IF(A10="","",COUNTIFS('Test Cases'!$E$5:$E$204,A10))</f>
        <v>5</v>
      </c>
      <c r="I10" s="29" t="n">
        <f aca="false">IF(A10="","",COUNTIFS('Test Cases'!$E$5:$E$204,A10,'Test Cases'!$L$5:$L$204,"Passed"))</f>
        <v>4</v>
      </c>
      <c r="J10" s="29" t="n">
        <f aca="false">IF(A10="","",COUNTIFS('Test Cases'!$E$5:$E$204,A10,'Test Cases'!$L$5:$L$204,"Failed"))</f>
        <v>0</v>
      </c>
      <c r="K10" s="30" t="str">
        <f aca="false">IF(A10="","",IF(H10=0,"No test coverage",IF(J10&gt;0,"Failing",IF(I10=H10,"Evidenced",IF(I10&gt;0,"Partially evidenced","Not yet tested")))))</f>
        <v>Partially evidenced</v>
      </c>
      <c r="L10" s="13" t="s">
        <v>143</v>
      </c>
      <c r="M10" s="12"/>
    </row>
    <row r="11" customFormat="false" ht="31.5" hidden="false" customHeight="true" outlineLevel="0" collapsed="false">
      <c r="A11" s="13" t="s">
        <v>237</v>
      </c>
      <c r="B11" s="12" t="s">
        <v>647</v>
      </c>
      <c r="C11" s="12" t="s">
        <v>648</v>
      </c>
      <c r="D11" s="13" t="s">
        <v>232</v>
      </c>
      <c r="E11" s="12" t="s">
        <v>649</v>
      </c>
      <c r="F11" s="12" t="s">
        <v>650</v>
      </c>
      <c r="G11" s="12" t="s">
        <v>235</v>
      </c>
      <c r="H11" s="29" t="n">
        <f aca="false">IF(A11="","",COUNTIFS('Test Cases'!$E$5:$E$204,A11))</f>
        <v>2</v>
      </c>
      <c r="I11" s="29" t="n">
        <f aca="false">IF(A11="","",COUNTIFS('Test Cases'!$E$5:$E$204,A11,'Test Cases'!$L$5:$L$204,"Passed"))</f>
        <v>0</v>
      </c>
      <c r="J11" s="29" t="n">
        <f aca="false">IF(A11="","",COUNTIFS('Test Cases'!$E$5:$E$204,A11,'Test Cases'!$L$5:$L$204,"Failed"))</f>
        <v>0</v>
      </c>
      <c r="K11" s="30" t="str">
        <f aca="false">IF(A11="","",IF(H11=0,"No test coverage",IF(J11&gt;0,"Failing",IF(I11=H11,"Evidenced",IF(I11&gt;0,"Partially evidenced","Not yet tested")))))</f>
        <v>Not yet tested</v>
      </c>
      <c r="L11" s="13" t="s">
        <v>143</v>
      </c>
      <c r="M11" s="12"/>
    </row>
    <row r="12" customFormat="false" ht="45" hidden="false" customHeight="true" outlineLevel="0" collapsed="false">
      <c r="A12" s="13" t="s">
        <v>248</v>
      </c>
      <c r="B12" s="12" t="s">
        <v>651</v>
      </c>
      <c r="C12" s="12" t="s">
        <v>652</v>
      </c>
      <c r="D12" s="13" t="s">
        <v>244</v>
      </c>
      <c r="E12" s="12" t="s">
        <v>653</v>
      </c>
      <c r="F12" s="12" t="s">
        <v>624</v>
      </c>
      <c r="G12" s="12" t="s">
        <v>625</v>
      </c>
      <c r="H12" s="29" t="n">
        <f aca="false">IF(A12="","",COUNTIFS('Test Cases'!$E$5:$E$204,A12))</f>
        <v>1</v>
      </c>
      <c r="I12" s="29" t="n">
        <f aca="false">IF(A12="","",COUNTIFS('Test Cases'!$E$5:$E$204,A12,'Test Cases'!$L$5:$L$204,"Passed"))</f>
        <v>0</v>
      </c>
      <c r="J12" s="29" t="n">
        <f aca="false">IF(A12="","",COUNTIFS('Test Cases'!$E$5:$E$204,A12,'Test Cases'!$L$5:$L$204,"Failed"))</f>
        <v>0</v>
      </c>
      <c r="K12" s="30" t="str">
        <f aca="false">IF(A12="","",IF(H12=0,"No test coverage",IF(J12&gt;0,"Failing",IF(I12=H12,"Evidenced",IF(I12&gt;0,"Partially evidenced","Not yet tested")))))</f>
        <v>Not yet tested</v>
      </c>
      <c r="L12" s="13" t="s">
        <v>143</v>
      </c>
      <c r="M12" s="12" t="s">
        <v>654</v>
      </c>
    </row>
    <row r="13" customFormat="false" ht="31.5" hidden="false" customHeight="true" outlineLevel="0" collapsed="false">
      <c r="A13" s="13" t="s">
        <v>157</v>
      </c>
      <c r="B13" s="12" t="s">
        <v>655</v>
      </c>
      <c r="C13" s="12" t="s">
        <v>656</v>
      </c>
      <c r="D13" s="13" t="s">
        <v>657</v>
      </c>
      <c r="E13" s="12" t="s">
        <v>658</v>
      </c>
      <c r="F13" s="12" t="s">
        <v>659</v>
      </c>
      <c r="G13" s="12" t="s">
        <v>660</v>
      </c>
      <c r="H13" s="29" t="n">
        <f aca="false">IF(A13="","",COUNTIFS('Test Cases'!$E$5:$E$204,A13))</f>
        <v>0</v>
      </c>
      <c r="I13" s="29" t="n">
        <f aca="false">IF(A13="","",COUNTIFS('Test Cases'!$E$5:$E$204,A13,'Test Cases'!$L$5:$L$204,"Passed"))</f>
        <v>0</v>
      </c>
      <c r="J13" s="29" t="n">
        <f aca="false">IF(A13="","",COUNTIFS('Test Cases'!$E$5:$E$204,A13,'Test Cases'!$L$5:$L$204,"Failed"))</f>
        <v>0</v>
      </c>
      <c r="K13" s="30" t="str">
        <f aca="false">IF(A13="","",IF(H13=0,"No test coverage",IF(J13&gt;0,"Failing",IF(I13=H13,"Evidenced",IF(I13&gt;0,"Partially evidenced","Not yet tested")))))</f>
        <v>No test coverage</v>
      </c>
      <c r="L13" s="13" t="s">
        <v>143</v>
      </c>
      <c r="M13" s="12" t="s">
        <v>661</v>
      </c>
    </row>
    <row r="14" customFormat="false" ht="19.5" hidden="false" customHeight="true" outlineLevel="0" collapsed="false">
      <c r="A14" s="13"/>
      <c r="B14" s="12"/>
      <c r="C14" s="12"/>
      <c r="D14" s="13"/>
      <c r="E14" s="12"/>
      <c r="F14" s="12"/>
      <c r="G14" s="12"/>
      <c r="H14" s="29" t="str">
        <f aca="false">IF(A14="","",COUNTIFS('Test Cases'!$E$5:$E$204,A14))</f>
        <v/>
      </c>
      <c r="I14" s="29" t="str">
        <f aca="false">IF(A14="","",COUNTIFS('Test Cases'!$E$5:$E$204,A14,'Test Cases'!$L$5:$L$204,"Passed"))</f>
        <v/>
      </c>
      <c r="J14" s="29" t="str">
        <f aca="false">IF(A14="","",COUNTIFS('Test Cases'!$E$5:$E$204,A14,'Test Cases'!$L$5:$L$204,"Failed"))</f>
        <v/>
      </c>
      <c r="K14" s="30" t="str">
        <f aca="false">IF(A14="","",IF(H14=0,"No test coverage",IF(J14&gt;0,"Failing",IF(I14=H14,"Evidenced",IF(I14&gt;0,"Partially evidenced","Not yet tested")))))</f>
        <v/>
      </c>
      <c r="L14" s="13"/>
      <c r="M14" s="12"/>
    </row>
    <row r="15" customFormat="false" ht="19.5" hidden="false" customHeight="true" outlineLevel="0" collapsed="false">
      <c r="A15" s="13"/>
      <c r="B15" s="12"/>
      <c r="C15" s="12"/>
      <c r="D15" s="13"/>
      <c r="E15" s="12"/>
      <c r="F15" s="12"/>
      <c r="G15" s="12"/>
      <c r="H15" s="29" t="str">
        <f aca="false">IF(A15="","",COUNTIFS('Test Cases'!$E$5:$E$204,A15))</f>
        <v/>
      </c>
      <c r="I15" s="29" t="str">
        <f aca="false">IF(A15="","",COUNTIFS('Test Cases'!$E$5:$E$204,A15,'Test Cases'!$L$5:$L$204,"Passed"))</f>
        <v/>
      </c>
      <c r="J15" s="29" t="str">
        <f aca="false">IF(A15="","",COUNTIFS('Test Cases'!$E$5:$E$204,A15,'Test Cases'!$L$5:$L$204,"Failed"))</f>
        <v/>
      </c>
      <c r="K15" s="30" t="str">
        <f aca="false">IF(A15="","",IF(H15=0,"No test coverage",IF(J15&gt;0,"Failing",IF(I15=H15,"Evidenced",IF(I15&gt;0,"Partially evidenced","Not yet tested")))))</f>
        <v/>
      </c>
      <c r="L15" s="13"/>
      <c r="M15" s="12"/>
    </row>
    <row r="16" customFormat="false" ht="19.5" hidden="false" customHeight="true" outlineLevel="0" collapsed="false">
      <c r="A16" s="13"/>
      <c r="B16" s="12"/>
      <c r="C16" s="12"/>
      <c r="D16" s="13"/>
      <c r="E16" s="12"/>
      <c r="F16" s="12"/>
      <c r="G16" s="12"/>
      <c r="H16" s="29" t="str">
        <f aca="false">IF(A16="","",COUNTIFS('Test Cases'!$E$5:$E$204,A16))</f>
        <v/>
      </c>
      <c r="I16" s="29" t="str">
        <f aca="false">IF(A16="","",COUNTIFS('Test Cases'!$E$5:$E$204,A16,'Test Cases'!$L$5:$L$204,"Passed"))</f>
        <v/>
      </c>
      <c r="J16" s="29" t="str">
        <f aca="false">IF(A16="","",COUNTIFS('Test Cases'!$E$5:$E$204,A16,'Test Cases'!$L$5:$L$204,"Failed"))</f>
        <v/>
      </c>
      <c r="K16" s="30" t="str">
        <f aca="false">IF(A16="","",IF(H16=0,"No test coverage",IF(J16&gt;0,"Failing",IF(I16=H16,"Evidenced",IF(I16&gt;0,"Partially evidenced","Not yet tested")))))</f>
        <v/>
      </c>
      <c r="L16" s="13"/>
      <c r="M16" s="12"/>
    </row>
    <row r="17" customFormat="false" ht="19.5" hidden="false" customHeight="true" outlineLevel="0" collapsed="false">
      <c r="A17" s="13"/>
      <c r="B17" s="12"/>
      <c r="C17" s="12"/>
      <c r="D17" s="13"/>
      <c r="E17" s="12"/>
      <c r="F17" s="12"/>
      <c r="G17" s="12"/>
      <c r="H17" s="29" t="str">
        <f aca="false">IF(A17="","",COUNTIFS('Test Cases'!$E$5:$E$204,A17))</f>
        <v/>
      </c>
      <c r="I17" s="29" t="str">
        <f aca="false">IF(A17="","",COUNTIFS('Test Cases'!$E$5:$E$204,A17,'Test Cases'!$L$5:$L$204,"Passed"))</f>
        <v/>
      </c>
      <c r="J17" s="29" t="str">
        <f aca="false">IF(A17="","",COUNTIFS('Test Cases'!$E$5:$E$204,A17,'Test Cases'!$L$5:$L$204,"Failed"))</f>
        <v/>
      </c>
      <c r="K17" s="30" t="str">
        <f aca="false">IF(A17="","",IF(H17=0,"No test coverage",IF(J17&gt;0,"Failing",IF(I17=H17,"Evidenced",IF(I17&gt;0,"Partially evidenced","Not yet tested")))))</f>
        <v/>
      </c>
      <c r="L17" s="13"/>
      <c r="M17" s="12"/>
    </row>
    <row r="18" customFormat="false" ht="19.5" hidden="false" customHeight="true" outlineLevel="0" collapsed="false">
      <c r="A18" s="13"/>
      <c r="B18" s="12"/>
      <c r="C18" s="12"/>
      <c r="D18" s="13"/>
      <c r="E18" s="12"/>
      <c r="F18" s="12"/>
      <c r="G18" s="12"/>
      <c r="H18" s="29" t="str">
        <f aca="false">IF(A18="","",COUNTIFS('Test Cases'!$E$5:$E$204,A18))</f>
        <v/>
      </c>
      <c r="I18" s="29" t="str">
        <f aca="false">IF(A18="","",COUNTIFS('Test Cases'!$E$5:$E$204,A18,'Test Cases'!$L$5:$L$204,"Passed"))</f>
        <v/>
      </c>
      <c r="J18" s="29" t="str">
        <f aca="false">IF(A18="","",COUNTIFS('Test Cases'!$E$5:$E$204,A18,'Test Cases'!$L$5:$L$204,"Failed"))</f>
        <v/>
      </c>
      <c r="K18" s="30" t="str">
        <f aca="false">IF(A18="","",IF(H18=0,"No test coverage",IF(J18&gt;0,"Failing",IF(I18=H18,"Evidenced",IF(I18&gt;0,"Partially evidenced","Not yet tested")))))</f>
        <v/>
      </c>
      <c r="L18" s="13"/>
      <c r="M18" s="12"/>
    </row>
    <row r="19" customFormat="false" ht="19.5" hidden="false" customHeight="true" outlineLevel="0" collapsed="false">
      <c r="A19" s="13"/>
      <c r="B19" s="12"/>
      <c r="C19" s="12"/>
      <c r="D19" s="13"/>
      <c r="E19" s="12"/>
      <c r="F19" s="12"/>
      <c r="G19" s="12"/>
      <c r="H19" s="29" t="str">
        <f aca="false">IF(A19="","",COUNTIFS('Test Cases'!$E$5:$E$204,A19))</f>
        <v/>
      </c>
      <c r="I19" s="29" t="str">
        <f aca="false">IF(A19="","",COUNTIFS('Test Cases'!$E$5:$E$204,A19,'Test Cases'!$L$5:$L$204,"Passed"))</f>
        <v/>
      </c>
      <c r="J19" s="29" t="str">
        <f aca="false">IF(A19="","",COUNTIFS('Test Cases'!$E$5:$E$204,A19,'Test Cases'!$L$5:$L$204,"Failed"))</f>
        <v/>
      </c>
      <c r="K19" s="30" t="str">
        <f aca="false">IF(A19="","",IF(H19=0,"No test coverage",IF(J19&gt;0,"Failing",IF(I19=H19,"Evidenced",IF(I19&gt;0,"Partially evidenced","Not yet tested")))))</f>
        <v/>
      </c>
      <c r="L19" s="13"/>
      <c r="M19" s="12"/>
    </row>
    <row r="20" customFormat="false" ht="19.5" hidden="false" customHeight="true" outlineLevel="0" collapsed="false">
      <c r="A20" s="13"/>
      <c r="B20" s="12"/>
      <c r="C20" s="12"/>
      <c r="D20" s="13"/>
      <c r="E20" s="12"/>
      <c r="F20" s="12"/>
      <c r="G20" s="12"/>
      <c r="H20" s="29" t="str">
        <f aca="false">IF(A20="","",COUNTIFS('Test Cases'!$E$5:$E$204,A20))</f>
        <v/>
      </c>
      <c r="I20" s="29" t="str">
        <f aca="false">IF(A20="","",COUNTIFS('Test Cases'!$E$5:$E$204,A20,'Test Cases'!$L$5:$L$204,"Passed"))</f>
        <v/>
      </c>
      <c r="J20" s="29" t="str">
        <f aca="false">IF(A20="","",COUNTIFS('Test Cases'!$E$5:$E$204,A20,'Test Cases'!$L$5:$L$204,"Failed"))</f>
        <v/>
      </c>
      <c r="K20" s="30" t="str">
        <f aca="false">IF(A20="","",IF(H20=0,"No test coverage",IF(J20&gt;0,"Failing",IF(I20=H20,"Evidenced",IF(I20&gt;0,"Partially evidenced","Not yet tested")))))</f>
        <v/>
      </c>
      <c r="L20" s="13"/>
      <c r="M20" s="12"/>
    </row>
    <row r="21" customFormat="false" ht="19.5" hidden="false" customHeight="true" outlineLevel="0" collapsed="false">
      <c r="A21" s="13"/>
      <c r="B21" s="12"/>
      <c r="C21" s="12"/>
      <c r="D21" s="13"/>
      <c r="E21" s="12"/>
      <c r="F21" s="12"/>
      <c r="G21" s="12"/>
      <c r="H21" s="29" t="str">
        <f aca="false">IF(A21="","",COUNTIFS('Test Cases'!$E$5:$E$204,A21))</f>
        <v/>
      </c>
      <c r="I21" s="29" t="str">
        <f aca="false">IF(A21="","",COUNTIFS('Test Cases'!$E$5:$E$204,A21,'Test Cases'!$L$5:$L$204,"Passed"))</f>
        <v/>
      </c>
      <c r="J21" s="29" t="str">
        <f aca="false">IF(A21="","",COUNTIFS('Test Cases'!$E$5:$E$204,A21,'Test Cases'!$L$5:$L$204,"Failed"))</f>
        <v/>
      </c>
      <c r="K21" s="30" t="str">
        <f aca="false">IF(A21="","",IF(H21=0,"No test coverage",IF(J21&gt;0,"Failing",IF(I21=H21,"Evidenced",IF(I21&gt;0,"Partially evidenced","Not yet tested")))))</f>
        <v/>
      </c>
      <c r="L21" s="13"/>
      <c r="M21" s="12"/>
    </row>
    <row r="22" customFormat="false" ht="19.5" hidden="false" customHeight="true" outlineLevel="0" collapsed="false">
      <c r="A22" s="13"/>
      <c r="B22" s="12"/>
      <c r="C22" s="12"/>
      <c r="D22" s="13"/>
      <c r="E22" s="12"/>
      <c r="F22" s="12"/>
      <c r="G22" s="12"/>
      <c r="H22" s="29" t="str">
        <f aca="false">IF(A22="","",COUNTIFS('Test Cases'!$E$5:$E$204,A22))</f>
        <v/>
      </c>
      <c r="I22" s="29" t="str">
        <f aca="false">IF(A22="","",COUNTIFS('Test Cases'!$E$5:$E$204,A22,'Test Cases'!$L$5:$L$204,"Passed"))</f>
        <v/>
      </c>
      <c r="J22" s="29" t="str">
        <f aca="false">IF(A22="","",COUNTIFS('Test Cases'!$E$5:$E$204,A22,'Test Cases'!$L$5:$L$204,"Failed"))</f>
        <v/>
      </c>
      <c r="K22" s="30" t="str">
        <f aca="false">IF(A22="","",IF(H22=0,"No test coverage",IF(J22&gt;0,"Failing",IF(I22=H22,"Evidenced",IF(I22&gt;0,"Partially evidenced","Not yet tested")))))</f>
        <v/>
      </c>
      <c r="L22" s="13"/>
      <c r="M22" s="12"/>
    </row>
    <row r="23" customFormat="false" ht="19.5" hidden="false" customHeight="true" outlineLevel="0" collapsed="false">
      <c r="A23" s="13"/>
      <c r="B23" s="12"/>
      <c r="C23" s="12"/>
      <c r="D23" s="13"/>
      <c r="E23" s="12"/>
      <c r="F23" s="12"/>
      <c r="G23" s="12"/>
      <c r="H23" s="29" t="str">
        <f aca="false">IF(A23="","",COUNTIFS('Test Cases'!$E$5:$E$204,A23))</f>
        <v/>
      </c>
      <c r="I23" s="29" t="str">
        <f aca="false">IF(A23="","",COUNTIFS('Test Cases'!$E$5:$E$204,A23,'Test Cases'!$L$5:$L$204,"Passed"))</f>
        <v/>
      </c>
      <c r="J23" s="29" t="str">
        <f aca="false">IF(A23="","",COUNTIFS('Test Cases'!$E$5:$E$204,A23,'Test Cases'!$L$5:$L$204,"Failed"))</f>
        <v/>
      </c>
      <c r="K23" s="30" t="str">
        <f aca="false">IF(A23="","",IF(H23=0,"No test coverage",IF(J23&gt;0,"Failing",IF(I23=H23,"Evidenced",IF(I23&gt;0,"Partially evidenced","Not yet tested")))))</f>
        <v/>
      </c>
      <c r="L23" s="13"/>
      <c r="M23" s="12"/>
    </row>
    <row r="24" customFormat="false" ht="19.5" hidden="false" customHeight="true" outlineLevel="0" collapsed="false">
      <c r="A24" s="13"/>
      <c r="B24" s="12"/>
      <c r="C24" s="12"/>
      <c r="D24" s="13"/>
      <c r="E24" s="12"/>
      <c r="F24" s="12"/>
      <c r="G24" s="12"/>
      <c r="H24" s="29" t="str">
        <f aca="false">IF(A24="","",COUNTIFS('Test Cases'!$E$5:$E$204,A24))</f>
        <v/>
      </c>
      <c r="I24" s="29" t="str">
        <f aca="false">IF(A24="","",COUNTIFS('Test Cases'!$E$5:$E$204,A24,'Test Cases'!$L$5:$L$204,"Passed"))</f>
        <v/>
      </c>
      <c r="J24" s="29" t="str">
        <f aca="false">IF(A24="","",COUNTIFS('Test Cases'!$E$5:$E$204,A24,'Test Cases'!$L$5:$L$204,"Failed"))</f>
        <v/>
      </c>
      <c r="K24" s="30" t="str">
        <f aca="false">IF(A24="","",IF(H24=0,"No test coverage",IF(J24&gt;0,"Failing",IF(I24=H24,"Evidenced",IF(I24&gt;0,"Partially evidenced","Not yet tested")))))</f>
        <v/>
      </c>
      <c r="L24" s="13"/>
      <c r="M24" s="12"/>
    </row>
    <row r="25" customFormat="false" ht="19.5" hidden="false" customHeight="true" outlineLevel="0" collapsed="false">
      <c r="A25" s="13"/>
      <c r="B25" s="12"/>
      <c r="C25" s="12"/>
      <c r="D25" s="13"/>
      <c r="E25" s="12"/>
      <c r="F25" s="12"/>
      <c r="G25" s="12"/>
      <c r="H25" s="29" t="str">
        <f aca="false">IF(A25="","",COUNTIFS('Test Cases'!$E$5:$E$204,A25))</f>
        <v/>
      </c>
      <c r="I25" s="29" t="str">
        <f aca="false">IF(A25="","",COUNTIFS('Test Cases'!$E$5:$E$204,A25,'Test Cases'!$L$5:$L$204,"Passed"))</f>
        <v/>
      </c>
      <c r="J25" s="29" t="str">
        <f aca="false">IF(A25="","",COUNTIFS('Test Cases'!$E$5:$E$204,A25,'Test Cases'!$L$5:$L$204,"Failed"))</f>
        <v/>
      </c>
      <c r="K25" s="30" t="str">
        <f aca="false">IF(A25="","",IF(H25=0,"No test coverage",IF(J25&gt;0,"Failing",IF(I25=H25,"Evidenced",IF(I25&gt;0,"Partially evidenced","Not yet tested")))))</f>
        <v/>
      </c>
      <c r="L25" s="13"/>
      <c r="M25" s="12"/>
    </row>
    <row r="26" customFormat="false" ht="19.5" hidden="false" customHeight="true" outlineLevel="0" collapsed="false">
      <c r="A26" s="13"/>
      <c r="B26" s="12"/>
      <c r="C26" s="12"/>
      <c r="D26" s="13"/>
      <c r="E26" s="12"/>
      <c r="F26" s="12"/>
      <c r="G26" s="12"/>
      <c r="H26" s="29" t="str">
        <f aca="false">IF(A26="","",COUNTIFS('Test Cases'!$E$5:$E$204,A26))</f>
        <v/>
      </c>
      <c r="I26" s="29" t="str">
        <f aca="false">IF(A26="","",COUNTIFS('Test Cases'!$E$5:$E$204,A26,'Test Cases'!$L$5:$L$204,"Passed"))</f>
        <v/>
      </c>
      <c r="J26" s="29" t="str">
        <f aca="false">IF(A26="","",COUNTIFS('Test Cases'!$E$5:$E$204,A26,'Test Cases'!$L$5:$L$204,"Failed"))</f>
        <v/>
      </c>
      <c r="K26" s="30" t="str">
        <f aca="false">IF(A26="","",IF(H26=0,"No test coverage",IF(J26&gt;0,"Failing",IF(I26=H26,"Evidenced",IF(I26&gt;0,"Partially evidenced","Not yet tested")))))</f>
        <v/>
      </c>
      <c r="L26" s="13"/>
      <c r="M26" s="12"/>
    </row>
    <row r="27" customFormat="false" ht="19.5" hidden="false" customHeight="true" outlineLevel="0" collapsed="false">
      <c r="A27" s="13"/>
      <c r="B27" s="12"/>
      <c r="C27" s="12"/>
      <c r="D27" s="13"/>
      <c r="E27" s="12"/>
      <c r="F27" s="12"/>
      <c r="G27" s="12"/>
      <c r="H27" s="29" t="str">
        <f aca="false">IF(A27="","",COUNTIFS('Test Cases'!$E$5:$E$204,A27))</f>
        <v/>
      </c>
      <c r="I27" s="29" t="str">
        <f aca="false">IF(A27="","",COUNTIFS('Test Cases'!$E$5:$E$204,A27,'Test Cases'!$L$5:$L$204,"Passed"))</f>
        <v/>
      </c>
      <c r="J27" s="29" t="str">
        <f aca="false">IF(A27="","",COUNTIFS('Test Cases'!$E$5:$E$204,A27,'Test Cases'!$L$5:$L$204,"Failed"))</f>
        <v/>
      </c>
      <c r="K27" s="30" t="str">
        <f aca="false">IF(A27="","",IF(H27=0,"No test coverage",IF(J27&gt;0,"Failing",IF(I27=H27,"Evidenced",IF(I27&gt;0,"Partially evidenced","Not yet tested")))))</f>
        <v/>
      </c>
      <c r="L27" s="13"/>
      <c r="M27" s="12"/>
    </row>
    <row r="28" customFormat="false" ht="19.5" hidden="false" customHeight="true" outlineLevel="0" collapsed="false">
      <c r="A28" s="13"/>
      <c r="B28" s="12"/>
      <c r="C28" s="12"/>
      <c r="D28" s="13"/>
      <c r="E28" s="12"/>
      <c r="F28" s="12"/>
      <c r="G28" s="12"/>
      <c r="H28" s="29" t="str">
        <f aca="false">IF(A28="","",COUNTIFS('Test Cases'!$E$5:$E$204,A28))</f>
        <v/>
      </c>
      <c r="I28" s="29" t="str">
        <f aca="false">IF(A28="","",COUNTIFS('Test Cases'!$E$5:$E$204,A28,'Test Cases'!$L$5:$L$204,"Passed"))</f>
        <v/>
      </c>
      <c r="J28" s="29" t="str">
        <f aca="false">IF(A28="","",COUNTIFS('Test Cases'!$E$5:$E$204,A28,'Test Cases'!$L$5:$L$204,"Failed"))</f>
        <v/>
      </c>
      <c r="K28" s="30" t="str">
        <f aca="false">IF(A28="","",IF(H28=0,"No test coverage",IF(J28&gt;0,"Failing",IF(I28=H28,"Evidenced",IF(I28&gt;0,"Partially evidenced","Not yet tested")))))</f>
        <v/>
      </c>
      <c r="L28" s="13"/>
      <c r="M28" s="12"/>
    </row>
    <row r="29" customFormat="false" ht="19.5" hidden="false" customHeight="true" outlineLevel="0" collapsed="false">
      <c r="A29" s="13"/>
      <c r="B29" s="12"/>
      <c r="C29" s="12"/>
      <c r="D29" s="13"/>
      <c r="E29" s="12"/>
      <c r="F29" s="12"/>
      <c r="G29" s="12"/>
      <c r="H29" s="29" t="str">
        <f aca="false">IF(A29="","",COUNTIFS('Test Cases'!$E$5:$E$204,A29))</f>
        <v/>
      </c>
      <c r="I29" s="29" t="str">
        <f aca="false">IF(A29="","",COUNTIFS('Test Cases'!$E$5:$E$204,A29,'Test Cases'!$L$5:$L$204,"Passed"))</f>
        <v/>
      </c>
      <c r="J29" s="29" t="str">
        <f aca="false">IF(A29="","",COUNTIFS('Test Cases'!$E$5:$E$204,A29,'Test Cases'!$L$5:$L$204,"Failed"))</f>
        <v/>
      </c>
      <c r="K29" s="30" t="str">
        <f aca="false">IF(A29="","",IF(H29=0,"No test coverage",IF(J29&gt;0,"Failing",IF(I29=H29,"Evidenced",IF(I29&gt;0,"Partially evidenced","Not yet tested")))))</f>
        <v/>
      </c>
      <c r="L29" s="13"/>
      <c r="M29" s="12"/>
    </row>
    <row r="30" customFormat="false" ht="19.5" hidden="false" customHeight="true" outlineLevel="0" collapsed="false">
      <c r="A30" s="13"/>
      <c r="B30" s="12"/>
      <c r="C30" s="12"/>
      <c r="D30" s="13"/>
      <c r="E30" s="12"/>
      <c r="F30" s="12"/>
      <c r="G30" s="12"/>
      <c r="H30" s="29" t="str">
        <f aca="false">IF(A30="","",COUNTIFS('Test Cases'!$E$5:$E$204,A30))</f>
        <v/>
      </c>
      <c r="I30" s="29" t="str">
        <f aca="false">IF(A30="","",COUNTIFS('Test Cases'!$E$5:$E$204,A30,'Test Cases'!$L$5:$L$204,"Passed"))</f>
        <v/>
      </c>
      <c r="J30" s="29" t="str">
        <f aca="false">IF(A30="","",COUNTIFS('Test Cases'!$E$5:$E$204,A30,'Test Cases'!$L$5:$L$204,"Failed"))</f>
        <v/>
      </c>
      <c r="K30" s="30" t="str">
        <f aca="false">IF(A30="","",IF(H30=0,"No test coverage",IF(J30&gt;0,"Failing",IF(I30=H30,"Evidenced",IF(I30&gt;0,"Partially evidenced","Not yet tested")))))</f>
        <v/>
      </c>
      <c r="L30" s="13"/>
      <c r="M30" s="12"/>
    </row>
    <row r="31" customFormat="false" ht="19.5" hidden="false" customHeight="true" outlineLevel="0" collapsed="false">
      <c r="A31" s="13"/>
      <c r="B31" s="12"/>
      <c r="C31" s="12"/>
      <c r="D31" s="13"/>
      <c r="E31" s="12"/>
      <c r="F31" s="12"/>
      <c r="G31" s="12"/>
      <c r="H31" s="29" t="str">
        <f aca="false">IF(A31="","",COUNTIFS('Test Cases'!$E$5:$E$204,A31))</f>
        <v/>
      </c>
      <c r="I31" s="29" t="str">
        <f aca="false">IF(A31="","",COUNTIFS('Test Cases'!$E$5:$E$204,A31,'Test Cases'!$L$5:$L$204,"Passed"))</f>
        <v/>
      </c>
      <c r="J31" s="29" t="str">
        <f aca="false">IF(A31="","",COUNTIFS('Test Cases'!$E$5:$E$204,A31,'Test Cases'!$L$5:$L$204,"Failed"))</f>
        <v/>
      </c>
      <c r="K31" s="30" t="str">
        <f aca="false">IF(A31="","",IF(H31=0,"No test coverage",IF(J31&gt;0,"Failing",IF(I31=H31,"Evidenced",IF(I31&gt;0,"Partially evidenced","Not yet tested")))))</f>
        <v/>
      </c>
      <c r="L31" s="13"/>
      <c r="M31" s="12"/>
    </row>
    <row r="32" customFormat="false" ht="19.5" hidden="false" customHeight="true" outlineLevel="0" collapsed="false">
      <c r="A32" s="13"/>
      <c r="B32" s="12"/>
      <c r="C32" s="12"/>
      <c r="D32" s="13"/>
      <c r="E32" s="12"/>
      <c r="F32" s="12"/>
      <c r="G32" s="12"/>
      <c r="H32" s="29" t="str">
        <f aca="false">IF(A32="","",COUNTIFS('Test Cases'!$E$5:$E$204,A32))</f>
        <v/>
      </c>
      <c r="I32" s="29" t="str">
        <f aca="false">IF(A32="","",COUNTIFS('Test Cases'!$E$5:$E$204,A32,'Test Cases'!$L$5:$L$204,"Passed"))</f>
        <v/>
      </c>
      <c r="J32" s="29" t="str">
        <f aca="false">IF(A32="","",COUNTIFS('Test Cases'!$E$5:$E$204,A32,'Test Cases'!$L$5:$L$204,"Failed"))</f>
        <v/>
      </c>
      <c r="K32" s="30" t="str">
        <f aca="false">IF(A32="","",IF(H32=0,"No test coverage",IF(J32&gt;0,"Failing",IF(I32=H32,"Evidenced",IF(I32&gt;0,"Partially evidenced","Not yet tested")))))</f>
        <v/>
      </c>
      <c r="L32" s="13"/>
      <c r="M32" s="12"/>
    </row>
    <row r="33" customFormat="false" ht="19.5" hidden="false" customHeight="true" outlineLevel="0" collapsed="false">
      <c r="A33" s="13"/>
      <c r="B33" s="12"/>
      <c r="C33" s="12"/>
      <c r="D33" s="13"/>
      <c r="E33" s="12"/>
      <c r="F33" s="12"/>
      <c r="G33" s="12"/>
      <c r="H33" s="29" t="str">
        <f aca="false">IF(A33="","",COUNTIFS('Test Cases'!$E$5:$E$204,A33))</f>
        <v/>
      </c>
      <c r="I33" s="29" t="str">
        <f aca="false">IF(A33="","",COUNTIFS('Test Cases'!$E$5:$E$204,A33,'Test Cases'!$L$5:$L$204,"Passed"))</f>
        <v/>
      </c>
      <c r="J33" s="29" t="str">
        <f aca="false">IF(A33="","",COUNTIFS('Test Cases'!$E$5:$E$204,A33,'Test Cases'!$L$5:$L$204,"Failed"))</f>
        <v/>
      </c>
      <c r="K33" s="30" t="str">
        <f aca="false">IF(A33="","",IF(H33=0,"No test coverage",IF(J33&gt;0,"Failing",IF(I33=H33,"Evidenced",IF(I33&gt;0,"Partially evidenced","Not yet tested")))))</f>
        <v/>
      </c>
      <c r="L33" s="13"/>
      <c r="M33" s="12"/>
    </row>
    <row r="34" customFormat="false" ht="19.5" hidden="false" customHeight="true" outlineLevel="0" collapsed="false">
      <c r="A34" s="13"/>
      <c r="B34" s="12"/>
      <c r="C34" s="12"/>
      <c r="D34" s="13"/>
      <c r="E34" s="12"/>
      <c r="F34" s="12"/>
      <c r="G34" s="12"/>
      <c r="H34" s="29" t="str">
        <f aca="false">IF(A34="","",COUNTIFS('Test Cases'!$E$5:$E$204,A34))</f>
        <v/>
      </c>
      <c r="I34" s="29" t="str">
        <f aca="false">IF(A34="","",COUNTIFS('Test Cases'!$E$5:$E$204,A34,'Test Cases'!$L$5:$L$204,"Passed"))</f>
        <v/>
      </c>
      <c r="J34" s="29" t="str">
        <f aca="false">IF(A34="","",COUNTIFS('Test Cases'!$E$5:$E$204,A34,'Test Cases'!$L$5:$L$204,"Failed"))</f>
        <v/>
      </c>
      <c r="K34" s="30" t="str">
        <f aca="false">IF(A34="","",IF(H34=0,"No test coverage",IF(J34&gt;0,"Failing",IF(I34=H34,"Evidenced",IF(I34&gt;0,"Partially evidenced","Not yet tested")))))</f>
        <v/>
      </c>
      <c r="L34" s="13"/>
      <c r="M34" s="12"/>
    </row>
  </sheetData>
  <autoFilter ref="A4:M34"/>
  <conditionalFormatting sqref="K5:K34">
    <cfRule type="cellIs" priority="2" operator="equal" aboveAverage="0" equalAverage="0" bottom="0" percent="0" rank="0" text="" dxfId="0">
      <formula>"Verified"</formula>
    </cfRule>
    <cfRule type="cellIs" priority="3" operator="equal" aboveAverage="0" equalAverage="0" bottom="0" percent="0" rank="0" text="" dxfId="0">
      <formula>"Evidenced"</formula>
    </cfRule>
    <cfRule type="cellIs" priority="4" operator="equal" aboveAverage="0" equalAverage="0" bottom="0" percent="0" rank="0" text="" dxfId="1">
      <formula>"Partially verified"</formula>
    </cfRule>
    <cfRule type="cellIs" priority="5" operator="equal" aboveAverage="0" equalAverage="0" bottom="0" percent="0" rank="0" text="" dxfId="1">
      <formula>"Partially evidenced"</formula>
    </cfRule>
    <cfRule type="cellIs" priority="6" operator="equal" aboveAverage="0" equalAverage="0" bottom="0" percent="0" rank="0" text="" dxfId="2">
      <formula>"Not yet tested"</formula>
    </cfRule>
    <cfRule type="cellIs" priority="7" operator="equal" aboveAverage="0" equalAverage="0" bottom="0" percent="0" rank="0" text="" dxfId="3">
      <formula>"Blocked"</formula>
    </cfRule>
    <cfRule type="cellIs" priority="8" operator="equal" aboveAverage="0" equalAverage="0" bottom="0" percent="0" rank="0" text="" dxfId="4">
      <formula>"Failing"</formula>
    </cfRule>
    <cfRule type="cellIs" priority="9" operator="equal" aboveAverage="0" equalAverage="0" bottom="0" percent="0" rank="0" text="" dxfId="4">
      <formula>"No test coverage"</formula>
    </cfRule>
    <cfRule type="cellIs" priority="10" operator="equal" aboveAverage="0" equalAverage="0" bottom="0" percent="0" rank="0" text="" dxfId="2">
      <formula>"Not in scope yet"</formula>
    </cfRule>
  </conditionalFormatting>
  <dataValidations count="1">
    <dataValidation allowBlank="true" errorStyle="stop" operator="between" showDropDown="false" showErrorMessage="false" showInputMessage="false" sqref="L5:L34" type="list">
      <formula1>"Not Started,In Review,Signed Off,Exception Raised"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1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9"/>
    <col collapsed="false" customWidth="true" hidden="false" outlineLevel="0" max="4" min="3" style="0" width="8"/>
    <col collapsed="false" customWidth="true" hidden="false" outlineLevel="0" max="5" min="5" style="0" width="28"/>
    <col collapsed="false" customWidth="true" hidden="false" outlineLevel="0" max="6" min="6" style="0" width="42"/>
    <col collapsed="false" customWidth="true" hidden="false" outlineLevel="0" max="7" min="7" style="0" width="10"/>
    <col collapsed="false" customWidth="true" hidden="false" outlineLevel="0" max="10" min="8" style="0" width="12"/>
    <col collapsed="false" customWidth="true" hidden="false" outlineLevel="0" max="11" min="11" style="0" width="14"/>
    <col collapsed="false" customWidth="true" hidden="false" outlineLevel="0" max="12" min="12" style="0" width="10"/>
    <col collapsed="false" customWidth="true" hidden="false" outlineLevel="0" max="13" min="13" style="0" width="12"/>
    <col collapsed="false" customWidth="true" hidden="false" outlineLevel="0" max="14" min="14" style="0" width="10"/>
    <col collapsed="false" customWidth="true" hidden="false" outlineLevel="0" max="15" min="15" style="0" width="36"/>
    <col collapsed="false" customWidth="true" hidden="false" outlineLevel="0" max="16" min="16" style="0" width="13"/>
  </cols>
  <sheetData>
    <row r="1" customFormat="false" ht="19.7" hidden="false" customHeight="false" outlineLevel="0" collapsed="false">
      <c r="A1" s="25" t="s">
        <v>662</v>
      </c>
    </row>
    <row r="2" customFormat="false" ht="15" hidden="false" customHeight="false" outlineLevel="0" collapsed="false">
      <c r="A2" s="16" t="s">
        <v>663</v>
      </c>
    </row>
    <row r="3" customFormat="false" ht="15" hidden="false" customHeight="false" outlineLevel="0" collapsed="false">
      <c r="A3" s="26" t="s">
        <v>119</v>
      </c>
    </row>
    <row r="4" customFormat="false" ht="39.75" hidden="false" customHeight="true" outlineLevel="0" collapsed="false">
      <c r="A4" s="27" t="s">
        <v>664</v>
      </c>
      <c r="B4" s="27" t="s">
        <v>292</v>
      </c>
      <c r="C4" s="28" t="s">
        <v>106</v>
      </c>
      <c r="D4" s="28" t="s">
        <v>293</v>
      </c>
      <c r="E4" s="27" t="s">
        <v>665</v>
      </c>
      <c r="F4" s="27" t="s">
        <v>666</v>
      </c>
      <c r="G4" s="27" t="s">
        <v>667</v>
      </c>
      <c r="H4" s="27" t="s">
        <v>22</v>
      </c>
      <c r="I4" s="27" t="s">
        <v>668</v>
      </c>
      <c r="J4" s="27" t="s">
        <v>669</v>
      </c>
      <c r="K4" s="27" t="s">
        <v>670</v>
      </c>
      <c r="L4" s="27" t="s">
        <v>671</v>
      </c>
      <c r="M4" s="27" t="s">
        <v>672</v>
      </c>
      <c r="N4" s="28" t="s">
        <v>673</v>
      </c>
      <c r="O4" s="27" t="s">
        <v>674</v>
      </c>
      <c r="P4" s="27" t="s">
        <v>675</v>
      </c>
    </row>
    <row r="5" customFormat="false" ht="31.5" hidden="false" customHeight="true" outlineLevel="0" collapsed="false">
      <c r="A5" s="13" t="s">
        <v>314</v>
      </c>
      <c r="B5" s="13" t="s">
        <v>310</v>
      </c>
      <c r="C5" s="29" t="str">
        <f aca="false">IF(B5="","",IFERROR(INDEX('Test Cases'!$B$5:$B$204,MATCH(B5,'Test Cases'!$A$5:$A$204,0)),"Unknown test"))</f>
        <v>BR-01</v>
      </c>
      <c r="D5" s="29" t="str">
        <f aca="false">IF(B5="","",IFERROR(INDEX('Test Cases'!$D$5:$D$204,MATCH(B5,'Test Cases'!$A$5:$A$204,0)),"Unknown test"))</f>
        <v>US-006</v>
      </c>
      <c r="E5" s="12" t="s">
        <v>676</v>
      </c>
      <c r="F5" s="12" t="s">
        <v>677</v>
      </c>
      <c r="G5" s="13" t="s">
        <v>678</v>
      </c>
      <c r="H5" s="13" t="s">
        <v>679</v>
      </c>
      <c r="I5" s="14" t="n">
        <v>46248</v>
      </c>
      <c r="J5" s="12" t="s">
        <v>309</v>
      </c>
      <c r="K5" s="13" t="s">
        <v>680</v>
      </c>
      <c r="L5" s="13" t="s">
        <v>681</v>
      </c>
      <c r="M5" s="14" t="n">
        <v>46254</v>
      </c>
      <c r="N5" s="29" t="n">
        <f aca="true">IF(OR(A5="",I5=""),"",IF(M5&lt;&gt;"",M5-I5,TODAY()-I5))</f>
        <v>6</v>
      </c>
      <c r="O5" s="12" t="s">
        <v>682</v>
      </c>
      <c r="P5" s="13"/>
    </row>
    <row r="6" customFormat="false" ht="45" hidden="false" customHeight="true" outlineLevel="0" collapsed="false">
      <c r="A6" s="13" t="s">
        <v>354</v>
      </c>
      <c r="B6" s="13" t="s">
        <v>349</v>
      </c>
      <c r="C6" s="29" t="str">
        <f aca="false">IF(B6="","",IFERROR(INDEX('Test Cases'!$B$5:$B$204,MATCH(B6,'Test Cases'!$A$5:$A$204,0)),"Unknown test"))</f>
        <v>BR-02</v>
      </c>
      <c r="D6" s="29" t="str">
        <f aca="false">IF(B6="","",IFERROR(INDEX('Test Cases'!$D$5:$D$204,MATCH(B6,'Test Cases'!$A$5:$A$204,0)),"Unknown test"))</f>
        <v>US-001</v>
      </c>
      <c r="E6" s="12" t="s">
        <v>683</v>
      </c>
      <c r="F6" s="12" t="s">
        <v>684</v>
      </c>
      <c r="G6" s="13" t="s">
        <v>685</v>
      </c>
      <c r="H6" s="13" t="s">
        <v>686</v>
      </c>
      <c r="I6" s="14" t="n">
        <v>46273</v>
      </c>
      <c r="J6" s="12" t="s">
        <v>309</v>
      </c>
      <c r="K6" s="13" t="s">
        <v>680</v>
      </c>
      <c r="L6" s="13" t="s">
        <v>687</v>
      </c>
      <c r="M6" s="14"/>
      <c r="N6" s="29" t="n">
        <f aca="true">IF(OR(A6="",I6=""),"",IF(M6&lt;&gt;"",M6-I6,TODAY()-I6))</f>
        <v>2</v>
      </c>
      <c r="O6" s="12"/>
      <c r="P6" s="13" t="s">
        <v>150</v>
      </c>
    </row>
    <row r="7" customFormat="false" ht="57.75" hidden="false" customHeight="true" outlineLevel="0" collapsed="false">
      <c r="A7" s="13" t="s">
        <v>449</v>
      </c>
      <c r="B7" s="13" t="s">
        <v>444</v>
      </c>
      <c r="C7" s="29" t="str">
        <f aca="false">IF(B7="","",IFERROR(INDEX('Test Cases'!$B$5:$B$204,MATCH(B7,'Test Cases'!$A$5:$A$204,0)),"Unknown test"))</f>
        <v>BR-06</v>
      </c>
      <c r="D7" s="29" t="str">
        <f aca="false">IF(B7="","",IFERROR(INDEX('Test Cases'!$D$5:$D$204,MATCH(B7,'Test Cases'!$A$5:$A$204,0)),"Unknown test"))</f>
        <v>US-020</v>
      </c>
      <c r="E7" s="12" t="s">
        <v>688</v>
      </c>
      <c r="F7" s="12" t="s">
        <v>689</v>
      </c>
      <c r="G7" s="13" t="s">
        <v>685</v>
      </c>
      <c r="H7" s="13" t="s">
        <v>690</v>
      </c>
      <c r="I7" s="14" t="n">
        <v>46274</v>
      </c>
      <c r="J7" s="12" t="s">
        <v>309</v>
      </c>
      <c r="K7" s="13" t="s">
        <v>691</v>
      </c>
      <c r="L7" s="13" t="s">
        <v>692</v>
      </c>
      <c r="M7" s="14"/>
      <c r="N7" s="29" t="n">
        <f aca="true">IF(OR(A7="",I7=""),"",IF(M7&lt;&gt;"",M7-I7,TODAY()-I7))</f>
        <v>1</v>
      </c>
      <c r="O7" s="12" t="s">
        <v>693</v>
      </c>
      <c r="P7" s="13" t="s">
        <v>694</v>
      </c>
    </row>
    <row r="8" customFormat="false" ht="31.5" hidden="false" customHeight="true" outlineLevel="0" collapsed="false">
      <c r="A8" s="13" t="s">
        <v>321</v>
      </c>
      <c r="B8" s="13" t="s">
        <v>316</v>
      </c>
      <c r="C8" s="29" t="str">
        <f aca="false">IF(B8="","",IFERROR(INDEX('Test Cases'!$B$5:$B$204,MATCH(B8,'Test Cases'!$A$5:$A$204,0)),"Unknown test"))</f>
        <v>BR-01</v>
      </c>
      <c r="D8" s="29" t="str">
        <f aca="false">IF(B8="","",IFERROR(INDEX('Test Cases'!$D$5:$D$204,MATCH(B8,'Test Cases'!$A$5:$A$204,0)),"Unknown test"))</f>
        <v>US-008</v>
      </c>
      <c r="E8" s="12" t="s">
        <v>695</v>
      </c>
      <c r="F8" s="12" t="s">
        <v>696</v>
      </c>
      <c r="G8" s="13" t="s">
        <v>678</v>
      </c>
      <c r="H8" s="13" t="s">
        <v>679</v>
      </c>
      <c r="I8" s="14" t="n">
        <v>46260</v>
      </c>
      <c r="J8" s="12" t="s">
        <v>309</v>
      </c>
      <c r="K8" s="13" t="s">
        <v>680</v>
      </c>
      <c r="L8" s="13" t="s">
        <v>681</v>
      </c>
      <c r="M8" s="14" t="n">
        <v>46261</v>
      </c>
      <c r="N8" s="29" t="n">
        <f aca="true">IF(OR(A8="",I8=""),"",IF(M8&lt;&gt;"",M8-I8,TODAY()-I8))</f>
        <v>1</v>
      </c>
      <c r="O8" s="12" t="s">
        <v>697</v>
      </c>
      <c r="P8" s="13"/>
    </row>
    <row r="9" customFormat="false" ht="19.5" hidden="false" customHeight="true" outlineLevel="0" collapsed="false">
      <c r="A9" s="13"/>
      <c r="B9" s="13"/>
      <c r="C9" s="29" t="str">
        <f aca="false">IF(B9="","",IFERROR(INDEX('Test Cases'!$B$5:$B$204,MATCH(B9,'Test Cases'!$A$5:$A$204,0)),"Unknown test"))</f>
        <v/>
      </c>
      <c r="D9" s="29" t="str">
        <f aca="false">IF(B9="","",IFERROR(INDEX('Test Cases'!$D$5:$D$204,MATCH(B9,'Test Cases'!$A$5:$A$204,0)),"Unknown test"))</f>
        <v/>
      </c>
      <c r="E9" s="12"/>
      <c r="F9" s="12"/>
      <c r="G9" s="13"/>
      <c r="H9" s="13"/>
      <c r="I9" s="14"/>
      <c r="J9" s="12"/>
      <c r="K9" s="13"/>
      <c r="L9" s="13"/>
      <c r="M9" s="14"/>
      <c r="N9" s="29" t="str">
        <f aca="true">IF(OR(A9="",I9=""),"",IF(M9&lt;&gt;"",M9-I9,TODAY()-I9))</f>
        <v/>
      </c>
      <c r="O9" s="12"/>
      <c r="P9" s="13"/>
    </row>
    <row r="10" customFormat="false" ht="19.5" hidden="false" customHeight="true" outlineLevel="0" collapsed="false">
      <c r="A10" s="13"/>
      <c r="B10" s="13"/>
      <c r="C10" s="29" t="str">
        <f aca="false">IF(B10="","",IFERROR(INDEX('Test Cases'!$B$5:$B$204,MATCH(B10,'Test Cases'!$A$5:$A$204,0)),"Unknown test"))</f>
        <v/>
      </c>
      <c r="D10" s="29" t="str">
        <f aca="false">IF(B10="","",IFERROR(INDEX('Test Cases'!$D$5:$D$204,MATCH(B10,'Test Cases'!$A$5:$A$204,0)),"Unknown test"))</f>
        <v/>
      </c>
      <c r="E10" s="12"/>
      <c r="F10" s="12"/>
      <c r="G10" s="13"/>
      <c r="H10" s="13"/>
      <c r="I10" s="14"/>
      <c r="J10" s="12"/>
      <c r="K10" s="13"/>
      <c r="L10" s="13"/>
      <c r="M10" s="14"/>
      <c r="N10" s="29" t="str">
        <f aca="true">IF(OR(A10="",I10=""),"",IF(M10&lt;&gt;"",M10-I10,TODAY()-I10))</f>
        <v/>
      </c>
      <c r="O10" s="12"/>
      <c r="P10" s="13"/>
    </row>
    <row r="11" customFormat="false" ht="19.5" hidden="false" customHeight="true" outlineLevel="0" collapsed="false">
      <c r="A11" s="13"/>
      <c r="B11" s="13"/>
      <c r="C11" s="29" t="str">
        <f aca="false">IF(B11="","",IFERROR(INDEX('Test Cases'!$B$5:$B$204,MATCH(B11,'Test Cases'!$A$5:$A$204,0)),"Unknown test"))</f>
        <v/>
      </c>
      <c r="D11" s="29" t="str">
        <f aca="false">IF(B11="","",IFERROR(INDEX('Test Cases'!$D$5:$D$204,MATCH(B11,'Test Cases'!$A$5:$A$204,0)),"Unknown test"))</f>
        <v/>
      </c>
      <c r="E11" s="12"/>
      <c r="F11" s="12"/>
      <c r="G11" s="13"/>
      <c r="H11" s="13"/>
      <c r="I11" s="14"/>
      <c r="J11" s="12"/>
      <c r="K11" s="13"/>
      <c r="L11" s="13"/>
      <c r="M11" s="14"/>
      <c r="N11" s="29" t="str">
        <f aca="true">IF(OR(A11="",I11=""),"",IF(M11&lt;&gt;"",M11-I11,TODAY()-I11))</f>
        <v/>
      </c>
      <c r="O11" s="12"/>
      <c r="P11" s="13"/>
    </row>
    <row r="12" customFormat="false" ht="19.5" hidden="false" customHeight="true" outlineLevel="0" collapsed="false">
      <c r="A12" s="13"/>
      <c r="B12" s="13"/>
      <c r="C12" s="29" t="str">
        <f aca="false">IF(B12="","",IFERROR(INDEX('Test Cases'!$B$5:$B$204,MATCH(B12,'Test Cases'!$A$5:$A$204,0)),"Unknown test"))</f>
        <v/>
      </c>
      <c r="D12" s="29" t="str">
        <f aca="false">IF(B12="","",IFERROR(INDEX('Test Cases'!$D$5:$D$204,MATCH(B12,'Test Cases'!$A$5:$A$204,0)),"Unknown test"))</f>
        <v/>
      </c>
      <c r="E12" s="12"/>
      <c r="F12" s="12"/>
      <c r="G12" s="13"/>
      <c r="H12" s="13"/>
      <c r="I12" s="14"/>
      <c r="J12" s="12"/>
      <c r="K12" s="13"/>
      <c r="L12" s="13"/>
      <c r="M12" s="14"/>
      <c r="N12" s="29" t="str">
        <f aca="true">IF(OR(A12="",I12=""),"",IF(M12&lt;&gt;"",M12-I12,TODAY()-I12))</f>
        <v/>
      </c>
      <c r="O12" s="12"/>
      <c r="P12" s="13"/>
    </row>
    <row r="13" customFormat="false" ht="19.5" hidden="false" customHeight="true" outlineLevel="0" collapsed="false">
      <c r="A13" s="13"/>
      <c r="B13" s="13"/>
      <c r="C13" s="29" t="str">
        <f aca="false">IF(B13="","",IFERROR(INDEX('Test Cases'!$B$5:$B$204,MATCH(B13,'Test Cases'!$A$5:$A$204,0)),"Unknown test"))</f>
        <v/>
      </c>
      <c r="D13" s="29" t="str">
        <f aca="false">IF(B13="","",IFERROR(INDEX('Test Cases'!$D$5:$D$204,MATCH(B13,'Test Cases'!$A$5:$A$204,0)),"Unknown test"))</f>
        <v/>
      </c>
      <c r="E13" s="12"/>
      <c r="F13" s="12"/>
      <c r="G13" s="13"/>
      <c r="H13" s="13"/>
      <c r="I13" s="14"/>
      <c r="J13" s="12"/>
      <c r="K13" s="13"/>
      <c r="L13" s="13"/>
      <c r="M13" s="14"/>
      <c r="N13" s="29" t="str">
        <f aca="true">IF(OR(A13="",I13=""),"",IF(M13&lt;&gt;"",M13-I13,TODAY()-I13))</f>
        <v/>
      </c>
      <c r="O13" s="12"/>
      <c r="P13" s="13"/>
    </row>
    <row r="14" customFormat="false" ht="19.5" hidden="false" customHeight="true" outlineLevel="0" collapsed="false">
      <c r="A14" s="13"/>
      <c r="B14" s="13"/>
      <c r="C14" s="29" t="str">
        <f aca="false">IF(B14="","",IFERROR(INDEX('Test Cases'!$B$5:$B$204,MATCH(B14,'Test Cases'!$A$5:$A$204,0)),"Unknown test"))</f>
        <v/>
      </c>
      <c r="D14" s="29" t="str">
        <f aca="false">IF(B14="","",IFERROR(INDEX('Test Cases'!$D$5:$D$204,MATCH(B14,'Test Cases'!$A$5:$A$204,0)),"Unknown test"))</f>
        <v/>
      </c>
      <c r="E14" s="12"/>
      <c r="F14" s="12"/>
      <c r="G14" s="13"/>
      <c r="H14" s="13"/>
      <c r="I14" s="14"/>
      <c r="J14" s="12"/>
      <c r="K14" s="13"/>
      <c r="L14" s="13"/>
      <c r="M14" s="14"/>
      <c r="N14" s="29" t="str">
        <f aca="true">IF(OR(A14="",I14=""),"",IF(M14&lt;&gt;"",M14-I14,TODAY()-I14))</f>
        <v/>
      </c>
      <c r="O14" s="12"/>
      <c r="P14" s="13"/>
    </row>
    <row r="15" customFormat="false" ht="19.5" hidden="false" customHeight="true" outlineLevel="0" collapsed="false">
      <c r="A15" s="13"/>
      <c r="B15" s="13"/>
      <c r="C15" s="29" t="str">
        <f aca="false">IF(B15="","",IFERROR(INDEX('Test Cases'!$B$5:$B$204,MATCH(B15,'Test Cases'!$A$5:$A$204,0)),"Unknown test"))</f>
        <v/>
      </c>
      <c r="D15" s="29" t="str">
        <f aca="false">IF(B15="","",IFERROR(INDEX('Test Cases'!$D$5:$D$204,MATCH(B15,'Test Cases'!$A$5:$A$204,0)),"Unknown test"))</f>
        <v/>
      </c>
      <c r="E15" s="12"/>
      <c r="F15" s="12"/>
      <c r="G15" s="13"/>
      <c r="H15" s="13"/>
      <c r="I15" s="14"/>
      <c r="J15" s="12"/>
      <c r="K15" s="13"/>
      <c r="L15" s="13"/>
      <c r="M15" s="14"/>
      <c r="N15" s="29" t="str">
        <f aca="true">IF(OR(A15="",I15=""),"",IF(M15&lt;&gt;"",M15-I15,TODAY()-I15))</f>
        <v/>
      </c>
      <c r="O15" s="12"/>
      <c r="P15" s="13"/>
    </row>
    <row r="16" customFormat="false" ht="19.5" hidden="false" customHeight="true" outlineLevel="0" collapsed="false">
      <c r="A16" s="13"/>
      <c r="B16" s="13"/>
      <c r="C16" s="29" t="str">
        <f aca="false">IF(B16="","",IFERROR(INDEX('Test Cases'!$B$5:$B$204,MATCH(B16,'Test Cases'!$A$5:$A$204,0)),"Unknown test"))</f>
        <v/>
      </c>
      <c r="D16" s="29" t="str">
        <f aca="false">IF(B16="","",IFERROR(INDEX('Test Cases'!$D$5:$D$204,MATCH(B16,'Test Cases'!$A$5:$A$204,0)),"Unknown test"))</f>
        <v/>
      </c>
      <c r="E16" s="12"/>
      <c r="F16" s="12"/>
      <c r="G16" s="13"/>
      <c r="H16" s="13"/>
      <c r="I16" s="14"/>
      <c r="J16" s="12"/>
      <c r="K16" s="13"/>
      <c r="L16" s="13"/>
      <c r="M16" s="14"/>
      <c r="N16" s="29" t="str">
        <f aca="true">IF(OR(A16="",I16=""),"",IF(M16&lt;&gt;"",M16-I16,TODAY()-I16))</f>
        <v/>
      </c>
      <c r="O16" s="12"/>
      <c r="P16" s="13"/>
    </row>
    <row r="17" customFormat="false" ht="19.5" hidden="false" customHeight="true" outlineLevel="0" collapsed="false">
      <c r="A17" s="13"/>
      <c r="B17" s="13"/>
      <c r="C17" s="29" t="str">
        <f aca="false">IF(B17="","",IFERROR(INDEX('Test Cases'!$B$5:$B$204,MATCH(B17,'Test Cases'!$A$5:$A$204,0)),"Unknown test"))</f>
        <v/>
      </c>
      <c r="D17" s="29" t="str">
        <f aca="false">IF(B17="","",IFERROR(INDEX('Test Cases'!$D$5:$D$204,MATCH(B17,'Test Cases'!$A$5:$A$204,0)),"Unknown test"))</f>
        <v/>
      </c>
      <c r="E17" s="12"/>
      <c r="F17" s="12"/>
      <c r="G17" s="13"/>
      <c r="H17" s="13"/>
      <c r="I17" s="14"/>
      <c r="J17" s="12"/>
      <c r="K17" s="13"/>
      <c r="L17" s="13"/>
      <c r="M17" s="14"/>
      <c r="N17" s="29" t="str">
        <f aca="true">IF(OR(A17="",I17=""),"",IF(M17&lt;&gt;"",M17-I17,TODAY()-I17))</f>
        <v/>
      </c>
      <c r="O17" s="12"/>
      <c r="P17" s="13"/>
    </row>
    <row r="18" customFormat="false" ht="19.5" hidden="false" customHeight="true" outlineLevel="0" collapsed="false">
      <c r="A18" s="13"/>
      <c r="B18" s="13"/>
      <c r="C18" s="29" t="str">
        <f aca="false">IF(B18="","",IFERROR(INDEX('Test Cases'!$B$5:$B$204,MATCH(B18,'Test Cases'!$A$5:$A$204,0)),"Unknown test"))</f>
        <v/>
      </c>
      <c r="D18" s="29" t="str">
        <f aca="false">IF(B18="","",IFERROR(INDEX('Test Cases'!$D$5:$D$204,MATCH(B18,'Test Cases'!$A$5:$A$204,0)),"Unknown test"))</f>
        <v/>
      </c>
      <c r="E18" s="12"/>
      <c r="F18" s="12"/>
      <c r="G18" s="13"/>
      <c r="H18" s="13"/>
      <c r="I18" s="14"/>
      <c r="J18" s="12"/>
      <c r="K18" s="13"/>
      <c r="L18" s="13"/>
      <c r="M18" s="14"/>
      <c r="N18" s="29" t="str">
        <f aca="true">IF(OR(A18="",I18=""),"",IF(M18&lt;&gt;"",M18-I18,TODAY()-I18))</f>
        <v/>
      </c>
      <c r="O18" s="12"/>
      <c r="P18" s="13"/>
    </row>
    <row r="19" customFormat="false" ht="19.5" hidden="false" customHeight="true" outlineLevel="0" collapsed="false">
      <c r="A19" s="13"/>
      <c r="B19" s="13"/>
      <c r="C19" s="29" t="str">
        <f aca="false">IF(B19="","",IFERROR(INDEX('Test Cases'!$B$5:$B$204,MATCH(B19,'Test Cases'!$A$5:$A$204,0)),"Unknown test"))</f>
        <v/>
      </c>
      <c r="D19" s="29" t="str">
        <f aca="false">IF(B19="","",IFERROR(INDEX('Test Cases'!$D$5:$D$204,MATCH(B19,'Test Cases'!$A$5:$A$204,0)),"Unknown test"))</f>
        <v/>
      </c>
      <c r="E19" s="12"/>
      <c r="F19" s="12"/>
      <c r="G19" s="13"/>
      <c r="H19" s="13"/>
      <c r="I19" s="14"/>
      <c r="J19" s="12"/>
      <c r="K19" s="13"/>
      <c r="L19" s="13"/>
      <c r="M19" s="14"/>
      <c r="N19" s="29" t="str">
        <f aca="true">IF(OR(A19="",I19=""),"",IF(M19&lt;&gt;"",M19-I19,TODAY()-I19))</f>
        <v/>
      </c>
      <c r="O19" s="12"/>
      <c r="P19" s="13"/>
    </row>
    <row r="20" customFormat="false" ht="19.5" hidden="false" customHeight="true" outlineLevel="0" collapsed="false">
      <c r="A20" s="13"/>
      <c r="B20" s="13"/>
      <c r="C20" s="29" t="str">
        <f aca="false">IF(B20="","",IFERROR(INDEX('Test Cases'!$B$5:$B$204,MATCH(B20,'Test Cases'!$A$5:$A$204,0)),"Unknown test"))</f>
        <v/>
      </c>
      <c r="D20" s="29" t="str">
        <f aca="false">IF(B20="","",IFERROR(INDEX('Test Cases'!$D$5:$D$204,MATCH(B20,'Test Cases'!$A$5:$A$204,0)),"Unknown test"))</f>
        <v/>
      </c>
      <c r="E20" s="12"/>
      <c r="F20" s="12"/>
      <c r="G20" s="13"/>
      <c r="H20" s="13"/>
      <c r="I20" s="14"/>
      <c r="J20" s="12"/>
      <c r="K20" s="13"/>
      <c r="L20" s="13"/>
      <c r="M20" s="14"/>
      <c r="N20" s="29" t="str">
        <f aca="true">IF(OR(A20="",I20=""),"",IF(M20&lt;&gt;"",M20-I20,TODAY()-I20))</f>
        <v/>
      </c>
      <c r="O20" s="12"/>
      <c r="P20" s="13"/>
    </row>
    <row r="21" customFormat="false" ht="19.5" hidden="false" customHeight="true" outlineLevel="0" collapsed="false">
      <c r="A21" s="13"/>
      <c r="B21" s="13"/>
      <c r="C21" s="29" t="str">
        <f aca="false">IF(B21="","",IFERROR(INDEX('Test Cases'!$B$5:$B$204,MATCH(B21,'Test Cases'!$A$5:$A$204,0)),"Unknown test"))</f>
        <v/>
      </c>
      <c r="D21" s="29" t="str">
        <f aca="false">IF(B21="","",IFERROR(INDEX('Test Cases'!$D$5:$D$204,MATCH(B21,'Test Cases'!$A$5:$A$204,0)),"Unknown test"))</f>
        <v/>
      </c>
      <c r="E21" s="12"/>
      <c r="F21" s="12"/>
      <c r="G21" s="13"/>
      <c r="H21" s="13"/>
      <c r="I21" s="14"/>
      <c r="J21" s="12"/>
      <c r="K21" s="13"/>
      <c r="L21" s="13"/>
      <c r="M21" s="14"/>
      <c r="N21" s="29" t="str">
        <f aca="true">IF(OR(A21="",I21=""),"",IF(M21&lt;&gt;"",M21-I21,TODAY()-I21))</f>
        <v/>
      </c>
      <c r="O21" s="12"/>
      <c r="P21" s="13"/>
    </row>
    <row r="22" customFormat="false" ht="19.5" hidden="false" customHeight="true" outlineLevel="0" collapsed="false">
      <c r="A22" s="13"/>
      <c r="B22" s="13"/>
      <c r="C22" s="29" t="str">
        <f aca="false">IF(B22="","",IFERROR(INDEX('Test Cases'!$B$5:$B$204,MATCH(B22,'Test Cases'!$A$5:$A$204,0)),"Unknown test"))</f>
        <v/>
      </c>
      <c r="D22" s="29" t="str">
        <f aca="false">IF(B22="","",IFERROR(INDEX('Test Cases'!$D$5:$D$204,MATCH(B22,'Test Cases'!$A$5:$A$204,0)),"Unknown test"))</f>
        <v/>
      </c>
      <c r="E22" s="12"/>
      <c r="F22" s="12"/>
      <c r="G22" s="13"/>
      <c r="H22" s="13"/>
      <c r="I22" s="14"/>
      <c r="J22" s="12"/>
      <c r="K22" s="13"/>
      <c r="L22" s="13"/>
      <c r="M22" s="14"/>
      <c r="N22" s="29" t="str">
        <f aca="true">IF(OR(A22="",I22=""),"",IF(M22&lt;&gt;"",M22-I22,TODAY()-I22))</f>
        <v/>
      </c>
      <c r="O22" s="12"/>
      <c r="P22" s="13"/>
    </row>
    <row r="23" customFormat="false" ht="19.5" hidden="false" customHeight="true" outlineLevel="0" collapsed="false">
      <c r="A23" s="13"/>
      <c r="B23" s="13"/>
      <c r="C23" s="29" t="str">
        <f aca="false">IF(B23="","",IFERROR(INDEX('Test Cases'!$B$5:$B$204,MATCH(B23,'Test Cases'!$A$5:$A$204,0)),"Unknown test"))</f>
        <v/>
      </c>
      <c r="D23" s="29" t="str">
        <f aca="false">IF(B23="","",IFERROR(INDEX('Test Cases'!$D$5:$D$204,MATCH(B23,'Test Cases'!$A$5:$A$204,0)),"Unknown test"))</f>
        <v/>
      </c>
      <c r="E23" s="12"/>
      <c r="F23" s="12"/>
      <c r="G23" s="13"/>
      <c r="H23" s="13"/>
      <c r="I23" s="14"/>
      <c r="J23" s="12"/>
      <c r="K23" s="13"/>
      <c r="L23" s="13"/>
      <c r="M23" s="14"/>
      <c r="N23" s="29" t="str">
        <f aca="true">IF(OR(A23="",I23=""),"",IF(M23&lt;&gt;"",M23-I23,TODAY()-I23))</f>
        <v/>
      </c>
      <c r="O23" s="12"/>
      <c r="P23" s="13"/>
    </row>
    <row r="24" customFormat="false" ht="19.5" hidden="false" customHeight="true" outlineLevel="0" collapsed="false">
      <c r="A24" s="13"/>
      <c r="B24" s="13"/>
      <c r="C24" s="29" t="str">
        <f aca="false">IF(B24="","",IFERROR(INDEX('Test Cases'!$B$5:$B$204,MATCH(B24,'Test Cases'!$A$5:$A$204,0)),"Unknown test"))</f>
        <v/>
      </c>
      <c r="D24" s="29" t="str">
        <f aca="false">IF(B24="","",IFERROR(INDEX('Test Cases'!$D$5:$D$204,MATCH(B24,'Test Cases'!$A$5:$A$204,0)),"Unknown test"))</f>
        <v/>
      </c>
      <c r="E24" s="12"/>
      <c r="F24" s="12"/>
      <c r="G24" s="13"/>
      <c r="H24" s="13"/>
      <c r="I24" s="14"/>
      <c r="J24" s="12"/>
      <c r="K24" s="13"/>
      <c r="L24" s="13"/>
      <c r="M24" s="14"/>
      <c r="N24" s="29" t="str">
        <f aca="true">IF(OR(A24="",I24=""),"",IF(M24&lt;&gt;"",M24-I24,TODAY()-I24))</f>
        <v/>
      </c>
      <c r="O24" s="12"/>
      <c r="P24" s="13"/>
    </row>
    <row r="25" customFormat="false" ht="19.5" hidden="false" customHeight="true" outlineLevel="0" collapsed="false">
      <c r="A25" s="13"/>
      <c r="B25" s="13"/>
      <c r="C25" s="29" t="str">
        <f aca="false">IF(B25="","",IFERROR(INDEX('Test Cases'!$B$5:$B$204,MATCH(B25,'Test Cases'!$A$5:$A$204,0)),"Unknown test"))</f>
        <v/>
      </c>
      <c r="D25" s="29" t="str">
        <f aca="false">IF(B25="","",IFERROR(INDEX('Test Cases'!$D$5:$D$204,MATCH(B25,'Test Cases'!$A$5:$A$204,0)),"Unknown test"))</f>
        <v/>
      </c>
      <c r="E25" s="12"/>
      <c r="F25" s="12"/>
      <c r="G25" s="13"/>
      <c r="H25" s="13"/>
      <c r="I25" s="14"/>
      <c r="J25" s="12"/>
      <c r="K25" s="13"/>
      <c r="L25" s="13"/>
      <c r="M25" s="14"/>
      <c r="N25" s="29" t="str">
        <f aca="true">IF(OR(A25="",I25=""),"",IF(M25&lt;&gt;"",M25-I25,TODAY()-I25))</f>
        <v/>
      </c>
      <c r="O25" s="12"/>
      <c r="P25" s="13"/>
    </row>
    <row r="26" customFormat="false" ht="19.5" hidden="false" customHeight="true" outlineLevel="0" collapsed="false">
      <c r="A26" s="13"/>
      <c r="B26" s="13"/>
      <c r="C26" s="29" t="str">
        <f aca="false">IF(B26="","",IFERROR(INDEX('Test Cases'!$B$5:$B$204,MATCH(B26,'Test Cases'!$A$5:$A$204,0)),"Unknown test"))</f>
        <v/>
      </c>
      <c r="D26" s="29" t="str">
        <f aca="false">IF(B26="","",IFERROR(INDEX('Test Cases'!$D$5:$D$204,MATCH(B26,'Test Cases'!$A$5:$A$204,0)),"Unknown test"))</f>
        <v/>
      </c>
      <c r="E26" s="12"/>
      <c r="F26" s="12"/>
      <c r="G26" s="13"/>
      <c r="H26" s="13"/>
      <c r="I26" s="14"/>
      <c r="J26" s="12"/>
      <c r="K26" s="13"/>
      <c r="L26" s="13"/>
      <c r="M26" s="14"/>
      <c r="N26" s="29" t="str">
        <f aca="true">IF(OR(A26="",I26=""),"",IF(M26&lt;&gt;"",M26-I26,TODAY()-I26))</f>
        <v/>
      </c>
      <c r="O26" s="12"/>
      <c r="P26" s="13"/>
    </row>
    <row r="27" customFormat="false" ht="19.5" hidden="false" customHeight="true" outlineLevel="0" collapsed="false">
      <c r="A27" s="13"/>
      <c r="B27" s="13"/>
      <c r="C27" s="29" t="str">
        <f aca="false">IF(B27="","",IFERROR(INDEX('Test Cases'!$B$5:$B$204,MATCH(B27,'Test Cases'!$A$5:$A$204,0)),"Unknown test"))</f>
        <v/>
      </c>
      <c r="D27" s="29" t="str">
        <f aca="false">IF(B27="","",IFERROR(INDEX('Test Cases'!$D$5:$D$204,MATCH(B27,'Test Cases'!$A$5:$A$204,0)),"Unknown test"))</f>
        <v/>
      </c>
      <c r="E27" s="12"/>
      <c r="F27" s="12"/>
      <c r="G27" s="13"/>
      <c r="H27" s="13"/>
      <c r="I27" s="14"/>
      <c r="J27" s="12"/>
      <c r="K27" s="13"/>
      <c r="L27" s="13"/>
      <c r="M27" s="14"/>
      <c r="N27" s="29" t="str">
        <f aca="true">IF(OR(A27="",I27=""),"",IF(M27&lt;&gt;"",M27-I27,TODAY()-I27))</f>
        <v/>
      </c>
      <c r="O27" s="12"/>
      <c r="P27" s="13"/>
    </row>
    <row r="28" customFormat="false" ht="19.5" hidden="false" customHeight="true" outlineLevel="0" collapsed="false">
      <c r="A28" s="13"/>
      <c r="B28" s="13"/>
      <c r="C28" s="29" t="str">
        <f aca="false">IF(B28="","",IFERROR(INDEX('Test Cases'!$B$5:$B$204,MATCH(B28,'Test Cases'!$A$5:$A$204,0)),"Unknown test"))</f>
        <v/>
      </c>
      <c r="D28" s="29" t="str">
        <f aca="false">IF(B28="","",IFERROR(INDEX('Test Cases'!$D$5:$D$204,MATCH(B28,'Test Cases'!$A$5:$A$204,0)),"Unknown test"))</f>
        <v/>
      </c>
      <c r="E28" s="12"/>
      <c r="F28" s="12"/>
      <c r="G28" s="13"/>
      <c r="H28" s="13"/>
      <c r="I28" s="14"/>
      <c r="J28" s="12"/>
      <c r="K28" s="13"/>
      <c r="L28" s="13"/>
      <c r="M28" s="14"/>
      <c r="N28" s="29" t="str">
        <f aca="true">IF(OR(A28="",I28=""),"",IF(M28&lt;&gt;"",M28-I28,TODAY()-I28))</f>
        <v/>
      </c>
      <c r="O28" s="12"/>
      <c r="P28" s="13"/>
    </row>
    <row r="29" customFormat="false" ht="19.5" hidden="false" customHeight="true" outlineLevel="0" collapsed="false">
      <c r="A29" s="13"/>
      <c r="B29" s="13"/>
      <c r="C29" s="29" t="str">
        <f aca="false">IF(B29="","",IFERROR(INDEX('Test Cases'!$B$5:$B$204,MATCH(B29,'Test Cases'!$A$5:$A$204,0)),"Unknown test"))</f>
        <v/>
      </c>
      <c r="D29" s="29" t="str">
        <f aca="false">IF(B29="","",IFERROR(INDEX('Test Cases'!$D$5:$D$204,MATCH(B29,'Test Cases'!$A$5:$A$204,0)),"Unknown test"))</f>
        <v/>
      </c>
      <c r="E29" s="12"/>
      <c r="F29" s="12"/>
      <c r="G29" s="13"/>
      <c r="H29" s="13"/>
      <c r="I29" s="14"/>
      <c r="J29" s="12"/>
      <c r="K29" s="13"/>
      <c r="L29" s="13"/>
      <c r="M29" s="14"/>
      <c r="N29" s="29" t="str">
        <f aca="true">IF(OR(A29="",I29=""),"",IF(M29&lt;&gt;"",M29-I29,TODAY()-I29))</f>
        <v/>
      </c>
      <c r="O29" s="12"/>
      <c r="P29" s="13"/>
    </row>
    <row r="30" customFormat="false" ht="19.5" hidden="false" customHeight="true" outlineLevel="0" collapsed="false">
      <c r="A30" s="13"/>
      <c r="B30" s="13"/>
      <c r="C30" s="29" t="str">
        <f aca="false">IF(B30="","",IFERROR(INDEX('Test Cases'!$B$5:$B$204,MATCH(B30,'Test Cases'!$A$5:$A$204,0)),"Unknown test"))</f>
        <v/>
      </c>
      <c r="D30" s="29" t="str">
        <f aca="false">IF(B30="","",IFERROR(INDEX('Test Cases'!$D$5:$D$204,MATCH(B30,'Test Cases'!$A$5:$A$204,0)),"Unknown test"))</f>
        <v/>
      </c>
      <c r="E30" s="12"/>
      <c r="F30" s="12"/>
      <c r="G30" s="13"/>
      <c r="H30" s="13"/>
      <c r="I30" s="14"/>
      <c r="J30" s="12"/>
      <c r="K30" s="13"/>
      <c r="L30" s="13"/>
      <c r="M30" s="14"/>
      <c r="N30" s="29" t="str">
        <f aca="true">IF(OR(A30="",I30=""),"",IF(M30&lt;&gt;"",M30-I30,TODAY()-I30))</f>
        <v/>
      </c>
      <c r="O30" s="12"/>
      <c r="P30" s="13"/>
    </row>
    <row r="31" customFormat="false" ht="19.5" hidden="false" customHeight="true" outlineLevel="0" collapsed="false">
      <c r="A31" s="13"/>
      <c r="B31" s="13"/>
      <c r="C31" s="29" t="str">
        <f aca="false">IF(B31="","",IFERROR(INDEX('Test Cases'!$B$5:$B$204,MATCH(B31,'Test Cases'!$A$5:$A$204,0)),"Unknown test"))</f>
        <v/>
      </c>
      <c r="D31" s="29" t="str">
        <f aca="false">IF(B31="","",IFERROR(INDEX('Test Cases'!$D$5:$D$204,MATCH(B31,'Test Cases'!$A$5:$A$204,0)),"Unknown test"))</f>
        <v/>
      </c>
      <c r="E31" s="12"/>
      <c r="F31" s="12"/>
      <c r="G31" s="13"/>
      <c r="H31" s="13"/>
      <c r="I31" s="14"/>
      <c r="J31" s="12"/>
      <c r="K31" s="13"/>
      <c r="L31" s="13"/>
      <c r="M31" s="14"/>
      <c r="N31" s="29" t="str">
        <f aca="true">IF(OR(A31="",I31=""),"",IF(M31&lt;&gt;"",M31-I31,TODAY()-I31))</f>
        <v/>
      </c>
      <c r="O31" s="12"/>
      <c r="P31" s="13"/>
    </row>
    <row r="32" customFormat="false" ht="19.5" hidden="false" customHeight="true" outlineLevel="0" collapsed="false">
      <c r="A32" s="13"/>
      <c r="B32" s="13"/>
      <c r="C32" s="29" t="str">
        <f aca="false">IF(B32="","",IFERROR(INDEX('Test Cases'!$B$5:$B$204,MATCH(B32,'Test Cases'!$A$5:$A$204,0)),"Unknown test"))</f>
        <v/>
      </c>
      <c r="D32" s="29" t="str">
        <f aca="false">IF(B32="","",IFERROR(INDEX('Test Cases'!$D$5:$D$204,MATCH(B32,'Test Cases'!$A$5:$A$204,0)),"Unknown test"))</f>
        <v/>
      </c>
      <c r="E32" s="12"/>
      <c r="F32" s="12"/>
      <c r="G32" s="13"/>
      <c r="H32" s="13"/>
      <c r="I32" s="14"/>
      <c r="J32" s="12"/>
      <c r="K32" s="13"/>
      <c r="L32" s="13"/>
      <c r="M32" s="14"/>
      <c r="N32" s="29" t="str">
        <f aca="true">IF(OR(A32="",I32=""),"",IF(M32&lt;&gt;"",M32-I32,TODAY()-I32))</f>
        <v/>
      </c>
      <c r="O32" s="12"/>
      <c r="P32" s="13"/>
    </row>
    <row r="33" customFormat="false" ht="19.5" hidden="false" customHeight="true" outlineLevel="0" collapsed="false">
      <c r="A33" s="13"/>
      <c r="B33" s="13"/>
      <c r="C33" s="29" t="str">
        <f aca="false">IF(B33="","",IFERROR(INDEX('Test Cases'!$B$5:$B$204,MATCH(B33,'Test Cases'!$A$5:$A$204,0)),"Unknown test"))</f>
        <v/>
      </c>
      <c r="D33" s="29" t="str">
        <f aca="false">IF(B33="","",IFERROR(INDEX('Test Cases'!$D$5:$D$204,MATCH(B33,'Test Cases'!$A$5:$A$204,0)),"Unknown test"))</f>
        <v/>
      </c>
      <c r="E33" s="12"/>
      <c r="F33" s="12"/>
      <c r="G33" s="13"/>
      <c r="H33" s="13"/>
      <c r="I33" s="14"/>
      <c r="J33" s="12"/>
      <c r="K33" s="13"/>
      <c r="L33" s="13"/>
      <c r="M33" s="14"/>
      <c r="N33" s="29" t="str">
        <f aca="true">IF(OR(A33="",I33=""),"",IF(M33&lt;&gt;"",M33-I33,TODAY()-I33))</f>
        <v/>
      </c>
      <c r="O33" s="12"/>
      <c r="P33" s="13"/>
    </row>
    <row r="34" customFormat="false" ht="19.5" hidden="false" customHeight="true" outlineLevel="0" collapsed="false">
      <c r="A34" s="13"/>
      <c r="B34" s="13"/>
      <c r="C34" s="29" t="str">
        <f aca="false">IF(B34="","",IFERROR(INDEX('Test Cases'!$B$5:$B$204,MATCH(B34,'Test Cases'!$A$5:$A$204,0)),"Unknown test"))</f>
        <v/>
      </c>
      <c r="D34" s="29" t="str">
        <f aca="false">IF(B34="","",IFERROR(INDEX('Test Cases'!$D$5:$D$204,MATCH(B34,'Test Cases'!$A$5:$A$204,0)),"Unknown test"))</f>
        <v/>
      </c>
      <c r="E34" s="12"/>
      <c r="F34" s="12"/>
      <c r="G34" s="13"/>
      <c r="H34" s="13"/>
      <c r="I34" s="14"/>
      <c r="J34" s="12"/>
      <c r="K34" s="13"/>
      <c r="L34" s="13"/>
      <c r="M34" s="14"/>
      <c r="N34" s="29" t="str">
        <f aca="true">IF(OR(A34="",I34=""),"",IF(M34&lt;&gt;"",M34-I34,TODAY()-I34))</f>
        <v/>
      </c>
      <c r="O34" s="12"/>
      <c r="P34" s="13"/>
    </row>
    <row r="35" customFormat="false" ht="19.5" hidden="false" customHeight="true" outlineLevel="0" collapsed="false">
      <c r="A35" s="13"/>
      <c r="B35" s="13"/>
      <c r="C35" s="29" t="str">
        <f aca="false">IF(B35="","",IFERROR(INDEX('Test Cases'!$B$5:$B$204,MATCH(B35,'Test Cases'!$A$5:$A$204,0)),"Unknown test"))</f>
        <v/>
      </c>
      <c r="D35" s="29" t="str">
        <f aca="false">IF(B35="","",IFERROR(INDEX('Test Cases'!$D$5:$D$204,MATCH(B35,'Test Cases'!$A$5:$A$204,0)),"Unknown test"))</f>
        <v/>
      </c>
      <c r="E35" s="12"/>
      <c r="F35" s="12"/>
      <c r="G35" s="13"/>
      <c r="H35" s="13"/>
      <c r="I35" s="14"/>
      <c r="J35" s="12"/>
      <c r="K35" s="13"/>
      <c r="L35" s="13"/>
      <c r="M35" s="14"/>
      <c r="N35" s="29" t="str">
        <f aca="true">IF(OR(A35="",I35=""),"",IF(M35&lt;&gt;"",M35-I35,TODAY()-I35))</f>
        <v/>
      </c>
      <c r="O35" s="12"/>
      <c r="P35" s="13"/>
    </row>
    <row r="36" customFormat="false" ht="19.5" hidden="false" customHeight="true" outlineLevel="0" collapsed="false">
      <c r="A36" s="13"/>
      <c r="B36" s="13"/>
      <c r="C36" s="29" t="str">
        <f aca="false">IF(B36="","",IFERROR(INDEX('Test Cases'!$B$5:$B$204,MATCH(B36,'Test Cases'!$A$5:$A$204,0)),"Unknown test"))</f>
        <v/>
      </c>
      <c r="D36" s="29" t="str">
        <f aca="false">IF(B36="","",IFERROR(INDEX('Test Cases'!$D$5:$D$204,MATCH(B36,'Test Cases'!$A$5:$A$204,0)),"Unknown test"))</f>
        <v/>
      </c>
      <c r="E36" s="12"/>
      <c r="F36" s="12"/>
      <c r="G36" s="13"/>
      <c r="H36" s="13"/>
      <c r="I36" s="14"/>
      <c r="J36" s="12"/>
      <c r="K36" s="13"/>
      <c r="L36" s="13"/>
      <c r="M36" s="14"/>
      <c r="N36" s="29" t="str">
        <f aca="true">IF(OR(A36="",I36=""),"",IF(M36&lt;&gt;"",M36-I36,TODAY()-I36))</f>
        <v/>
      </c>
      <c r="O36" s="12"/>
      <c r="P36" s="13"/>
    </row>
    <row r="37" customFormat="false" ht="19.5" hidden="false" customHeight="true" outlineLevel="0" collapsed="false">
      <c r="A37" s="13"/>
      <c r="B37" s="13"/>
      <c r="C37" s="29" t="str">
        <f aca="false">IF(B37="","",IFERROR(INDEX('Test Cases'!$B$5:$B$204,MATCH(B37,'Test Cases'!$A$5:$A$204,0)),"Unknown test"))</f>
        <v/>
      </c>
      <c r="D37" s="29" t="str">
        <f aca="false">IF(B37="","",IFERROR(INDEX('Test Cases'!$D$5:$D$204,MATCH(B37,'Test Cases'!$A$5:$A$204,0)),"Unknown test"))</f>
        <v/>
      </c>
      <c r="E37" s="12"/>
      <c r="F37" s="12"/>
      <c r="G37" s="13"/>
      <c r="H37" s="13"/>
      <c r="I37" s="14"/>
      <c r="J37" s="12"/>
      <c r="K37" s="13"/>
      <c r="L37" s="13"/>
      <c r="M37" s="14"/>
      <c r="N37" s="29" t="str">
        <f aca="true">IF(OR(A37="",I37=""),"",IF(M37&lt;&gt;"",M37-I37,TODAY()-I37))</f>
        <v/>
      </c>
      <c r="O37" s="12"/>
      <c r="P37" s="13"/>
    </row>
    <row r="38" customFormat="false" ht="19.5" hidden="false" customHeight="true" outlineLevel="0" collapsed="false">
      <c r="A38" s="13"/>
      <c r="B38" s="13"/>
      <c r="C38" s="29" t="str">
        <f aca="false">IF(B38="","",IFERROR(INDEX('Test Cases'!$B$5:$B$204,MATCH(B38,'Test Cases'!$A$5:$A$204,0)),"Unknown test"))</f>
        <v/>
      </c>
      <c r="D38" s="29" t="str">
        <f aca="false">IF(B38="","",IFERROR(INDEX('Test Cases'!$D$5:$D$204,MATCH(B38,'Test Cases'!$A$5:$A$204,0)),"Unknown test"))</f>
        <v/>
      </c>
      <c r="E38" s="12"/>
      <c r="F38" s="12"/>
      <c r="G38" s="13"/>
      <c r="H38" s="13"/>
      <c r="I38" s="14"/>
      <c r="J38" s="12"/>
      <c r="K38" s="13"/>
      <c r="L38" s="13"/>
      <c r="M38" s="14"/>
      <c r="N38" s="29" t="str">
        <f aca="true">IF(OR(A38="",I38=""),"",IF(M38&lt;&gt;"",M38-I38,TODAY()-I38))</f>
        <v/>
      </c>
      <c r="O38" s="12"/>
      <c r="P38" s="13"/>
    </row>
    <row r="39" customFormat="false" ht="19.5" hidden="false" customHeight="true" outlineLevel="0" collapsed="false">
      <c r="A39" s="13"/>
      <c r="B39" s="13"/>
      <c r="C39" s="29" t="str">
        <f aca="false">IF(B39="","",IFERROR(INDEX('Test Cases'!$B$5:$B$204,MATCH(B39,'Test Cases'!$A$5:$A$204,0)),"Unknown test"))</f>
        <v/>
      </c>
      <c r="D39" s="29" t="str">
        <f aca="false">IF(B39="","",IFERROR(INDEX('Test Cases'!$D$5:$D$204,MATCH(B39,'Test Cases'!$A$5:$A$204,0)),"Unknown test"))</f>
        <v/>
      </c>
      <c r="E39" s="12"/>
      <c r="F39" s="12"/>
      <c r="G39" s="13"/>
      <c r="H39" s="13"/>
      <c r="I39" s="14"/>
      <c r="J39" s="12"/>
      <c r="K39" s="13"/>
      <c r="L39" s="13"/>
      <c r="M39" s="14"/>
      <c r="N39" s="29" t="str">
        <f aca="true">IF(OR(A39="",I39=""),"",IF(M39&lt;&gt;"",M39-I39,TODAY()-I39))</f>
        <v/>
      </c>
      <c r="O39" s="12"/>
      <c r="P39" s="13"/>
    </row>
    <row r="40" customFormat="false" ht="19.5" hidden="false" customHeight="true" outlineLevel="0" collapsed="false">
      <c r="A40" s="13"/>
      <c r="B40" s="13"/>
      <c r="C40" s="29" t="str">
        <f aca="false">IF(B40="","",IFERROR(INDEX('Test Cases'!$B$5:$B$204,MATCH(B40,'Test Cases'!$A$5:$A$204,0)),"Unknown test"))</f>
        <v/>
      </c>
      <c r="D40" s="29" t="str">
        <f aca="false">IF(B40="","",IFERROR(INDEX('Test Cases'!$D$5:$D$204,MATCH(B40,'Test Cases'!$A$5:$A$204,0)),"Unknown test"))</f>
        <v/>
      </c>
      <c r="E40" s="12"/>
      <c r="F40" s="12"/>
      <c r="G40" s="13"/>
      <c r="H40" s="13"/>
      <c r="I40" s="14"/>
      <c r="J40" s="12"/>
      <c r="K40" s="13"/>
      <c r="L40" s="13"/>
      <c r="M40" s="14"/>
      <c r="N40" s="29" t="str">
        <f aca="true">IF(OR(A40="",I40=""),"",IF(M40&lt;&gt;"",M40-I40,TODAY()-I40))</f>
        <v/>
      </c>
      <c r="O40" s="12"/>
      <c r="P40" s="13"/>
    </row>
    <row r="41" customFormat="false" ht="19.5" hidden="false" customHeight="true" outlineLevel="0" collapsed="false">
      <c r="A41" s="13"/>
      <c r="B41" s="13"/>
      <c r="C41" s="29" t="str">
        <f aca="false">IF(B41="","",IFERROR(INDEX('Test Cases'!$B$5:$B$204,MATCH(B41,'Test Cases'!$A$5:$A$204,0)),"Unknown test"))</f>
        <v/>
      </c>
      <c r="D41" s="29" t="str">
        <f aca="false">IF(B41="","",IFERROR(INDEX('Test Cases'!$D$5:$D$204,MATCH(B41,'Test Cases'!$A$5:$A$204,0)),"Unknown test"))</f>
        <v/>
      </c>
      <c r="E41" s="12"/>
      <c r="F41" s="12"/>
      <c r="G41" s="13"/>
      <c r="H41" s="13"/>
      <c r="I41" s="14"/>
      <c r="J41" s="12"/>
      <c r="K41" s="13"/>
      <c r="L41" s="13"/>
      <c r="M41" s="14"/>
      <c r="N41" s="29" t="str">
        <f aca="true">IF(OR(A41="",I41=""),"",IF(M41&lt;&gt;"",M41-I41,TODAY()-I41))</f>
        <v/>
      </c>
      <c r="O41" s="12"/>
      <c r="P41" s="13"/>
    </row>
    <row r="42" customFormat="false" ht="19.5" hidden="false" customHeight="true" outlineLevel="0" collapsed="false">
      <c r="A42" s="13"/>
      <c r="B42" s="13"/>
      <c r="C42" s="29" t="str">
        <f aca="false">IF(B42="","",IFERROR(INDEX('Test Cases'!$B$5:$B$204,MATCH(B42,'Test Cases'!$A$5:$A$204,0)),"Unknown test"))</f>
        <v/>
      </c>
      <c r="D42" s="29" t="str">
        <f aca="false">IF(B42="","",IFERROR(INDEX('Test Cases'!$D$5:$D$204,MATCH(B42,'Test Cases'!$A$5:$A$204,0)),"Unknown test"))</f>
        <v/>
      </c>
      <c r="E42" s="12"/>
      <c r="F42" s="12"/>
      <c r="G42" s="13"/>
      <c r="H42" s="13"/>
      <c r="I42" s="14"/>
      <c r="J42" s="12"/>
      <c r="K42" s="13"/>
      <c r="L42" s="13"/>
      <c r="M42" s="14"/>
      <c r="N42" s="29" t="str">
        <f aca="true">IF(OR(A42="",I42=""),"",IF(M42&lt;&gt;"",M42-I42,TODAY()-I42))</f>
        <v/>
      </c>
      <c r="O42" s="12"/>
      <c r="P42" s="13"/>
    </row>
    <row r="43" customFormat="false" ht="19.5" hidden="false" customHeight="true" outlineLevel="0" collapsed="false">
      <c r="A43" s="13"/>
      <c r="B43" s="13"/>
      <c r="C43" s="29" t="str">
        <f aca="false">IF(B43="","",IFERROR(INDEX('Test Cases'!$B$5:$B$204,MATCH(B43,'Test Cases'!$A$5:$A$204,0)),"Unknown test"))</f>
        <v/>
      </c>
      <c r="D43" s="29" t="str">
        <f aca="false">IF(B43="","",IFERROR(INDEX('Test Cases'!$D$5:$D$204,MATCH(B43,'Test Cases'!$A$5:$A$204,0)),"Unknown test"))</f>
        <v/>
      </c>
      <c r="E43" s="12"/>
      <c r="F43" s="12"/>
      <c r="G43" s="13"/>
      <c r="H43" s="13"/>
      <c r="I43" s="14"/>
      <c r="J43" s="12"/>
      <c r="K43" s="13"/>
      <c r="L43" s="13"/>
      <c r="M43" s="14"/>
      <c r="N43" s="29" t="str">
        <f aca="true">IF(OR(A43="",I43=""),"",IF(M43&lt;&gt;"",M43-I43,TODAY()-I43))</f>
        <v/>
      </c>
      <c r="O43" s="12"/>
      <c r="P43" s="13"/>
    </row>
    <row r="44" customFormat="false" ht="19.5" hidden="false" customHeight="true" outlineLevel="0" collapsed="false">
      <c r="A44" s="13"/>
      <c r="B44" s="13"/>
      <c r="C44" s="29" t="str">
        <f aca="false">IF(B44="","",IFERROR(INDEX('Test Cases'!$B$5:$B$204,MATCH(B44,'Test Cases'!$A$5:$A$204,0)),"Unknown test"))</f>
        <v/>
      </c>
      <c r="D44" s="29" t="str">
        <f aca="false">IF(B44="","",IFERROR(INDEX('Test Cases'!$D$5:$D$204,MATCH(B44,'Test Cases'!$A$5:$A$204,0)),"Unknown test"))</f>
        <v/>
      </c>
      <c r="E44" s="12"/>
      <c r="F44" s="12"/>
      <c r="G44" s="13"/>
      <c r="H44" s="13"/>
      <c r="I44" s="14"/>
      <c r="J44" s="12"/>
      <c r="K44" s="13"/>
      <c r="L44" s="13"/>
      <c r="M44" s="14"/>
      <c r="N44" s="29" t="str">
        <f aca="true">IF(OR(A44="",I44=""),"",IF(M44&lt;&gt;"",M44-I44,TODAY()-I44))</f>
        <v/>
      </c>
      <c r="O44" s="12"/>
      <c r="P44" s="13"/>
    </row>
    <row r="45" customFormat="false" ht="19.5" hidden="false" customHeight="true" outlineLevel="0" collapsed="false">
      <c r="A45" s="13"/>
      <c r="B45" s="13"/>
      <c r="C45" s="29" t="str">
        <f aca="false">IF(B45="","",IFERROR(INDEX('Test Cases'!$B$5:$B$204,MATCH(B45,'Test Cases'!$A$5:$A$204,0)),"Unknown test"))</f>
        <v/>
      </c>
      <c r="D45" s="29" t="str">
        <f aca="false">IF(B45="","",IFERROR(INDEX('Test Cases'!$D$5:$D$204,MATCH(B45,'Test Cases'!$A$5:$A$204,0)),"Unknown test"))</f>
        <v/>
      </c>
      <c r="E45" s="12"/>
      <c r="F45" s="12"/>
      <c r="G45" s="13"/>
      <c r="H45" s="13"/>
      <c r="I45" s="14"/>
      <c r="J45" s="12"/>
      <c r="K45" s="13"/>
      <c r="L45" s="13"/>
      <c r="M45" s="14"/>
      <c r="N45" s="29" t="str">
        <f aca="true">IF(OR(A45="",I45=""),"",IF(M45&lt;&gt;"",M45-I45,TODAY()-I45))</f>
        <v/>
      </c>
      <c r="O45" s="12"/>
      <c r="P45" s="13"/>
    </row>
    <row r="46" customFormat="false" ht="19.5" hidden="false" customHeight="true" outlineLevel="0" collapsed="false">
      <c r="A46" s="13"/>
      <c r="B46" s="13"/>
      <c r="C46" s="29" t="str">
        <f aca="false">IF(B46="","",IFERROR(INDEX('Test Cases'!$B$5:$B$204,MATCH(B46,'Test Cases'!$A$5:$A$204,0)),"Unknown test"))</f>
        <v/>
      </c>
      <c r="D46" s="29" t="str">
        <f aca="false">IF(B46="","",IFERROR(INDEX('Test Cases'!$D$5:$D$204,MATCH(B46,'Test Cases'!$A$5:$A$204,0)),"Unknown test"))</f>
        <v/>
      </c>
      <c r="E46" s="12"/>
      <c r="F46" s="12"/>
      <c r="G46" s="13"/>
      <c r="H46" s="13"/>
      <c r="I46" s="14"/>
      <c r="J46" s="12"/>
      <c r="K46" s="13"/>
      <c r="L46" s="13"/>
      <c r="M46" s="14"/>
      <c r="N46" s="29" t="str">
        <f aca="true">IF(OR(A46="",I46=""),"",IF(M46&lt;&gt;"",M46-I46,TODAY()-I46))</f>
        <v/>
      </c>
      <c r="O46" s="12"/>
      <c r="P46" s="13"/>
    </row>
    <row r="47" customFormat="false" ht="19.5" hidden="false" customHeight="true" outlineLevel="0" collapsed="false">
      <c r="A47" s="13"/>
      <c r="B47" s="13"/>
      <c r="C47" s="29" t="str">
        <f aca="false">IF(B47="","",IFERROR(INDEX('Test Cases'!$B$5:$B$204,MATCH(B47,'Test Cases'!$A$5:$A$204,0)),"Unknown test"))</f>
        <v/>
      </c>
      <c r="D47" s="29" t="str">
        <f aca="false">IF(B47="","",IFERROR(INDEX('Test Cases'!$D$5:$D$204,MATCH(B47,'Test Cases'!$A$5:$A$204,0)),"Unknown test"))</f>
        <v/>
      </c>
      <c r="E47" s="12"/>
      <c r="F47" s="12"/>
      <c r="G47" s="13"/>
      <c r="H47" s="13"/>
      <c r="I47" s="14"/>
      <c r="J47" s="12"/>
      <c r="K47" s="13"/>
      <c r="L47" s="13"/>
      <c r="M47" s="14"/>
      <c r="N47" s="29" t="str">
        <f aca="true">IF(OR(A47="",I47=""),"",IF(M47&lt;&gt;"",M47-I47,TODAY()-I47))</f>
        <v/>
      </c>
      <c r="O47" s="12"/>
      <c r="P47" s="13"/>
    </row>
    <row r="48" customFormat="false" ht="19.5" hidden="false" customHeight="true" outlineLevel="0" collapsed="false">
      <c r="A48" s="13"/>
      <c r="B48" s="13"/>
      <c r="C48" s="29" t="str">
        <f aca="false">IF(B48="","",IFERROR(INDEX('Test Cases'!$B$5:$B$204,MATCH(B48,'Test Cases'!$A$5:$A$204,0)),"Unknown test"))</f>
        <v/>
      </c>
      <c r="D48" s="29" t="str">
        <f aca="false">IF(B48="","",IFERROR(INDEX('Test Cases'!$D$5:$D$204,MATCH(B48,'Test Cases'!$A$5:$A$204,0)),"Unknown test"))</f>
        <v/>
      </c>
      <c r="E48" s="12"/>
      <c r="F48" s="12"/>
      <c r="G48" s="13"/>
      <c r="H48" s="13"/>
      <c r="I48" s="14"/>
      <c r="J48" s="12"/>
      <c r="K48" s="13"/>
      <c r="L48" s="13"/>
      <c r="M48" s="14"/>
      <c r="N48" s="29" t="str">
        <f aca="true">IF(OR(A48="",I48=""),"",IF(M48&lt;&gt;"",M48-I48,TODAY()-I48))</f>
        <v/>
      </c>
      <c r="O48" s="12"/>
      <c r="P48" s="13"/>
    </row>
    <row r="49" customFormat="false" ht="19.5" hidden="false" customHeight="true" outlineLevel="0" collapsed="false">
      <c r="A49" s="13"/>
      <c r="B49" s="13"/>
      <c r="C49" s="29" t="str">
        <f aca="false">IF(B49="","",IFERROR(INDEX('Test Cases'!$B$5:$B$204,MATCH(B49,'Test Cases'!$A$5:$A$204,0)),"Unknown test"))</f>
        <v/>
      </c>
      <c r="D49" s="29" t="str">
        <f aca="false">IF(B49="","",IFERROR(INDEX('Test Cases'!$D$5:$D$204,MATCH(B49,'Test Cases'!$A$5:$A$204,0)),"Unknown test"))</f>
        <v/>
      </c>
      <c r="E49" s="12"/>
      <c r="F49" s="12"/>
      <c r="G49" s="13"/>
      <c r="H49" s="13"/>
      <c r="I49" s="14"/>
      <c r="J49" s="12"/>
      <c r="K49" s="13"/>
      <c r="L49" s="13"/>
      <c r="M49" s="14"/>
      <c r="N49" s="29" t="str">
        <f aca="true">IF(OR(A49="",I49=""),"",IF(M49&lt;&gt;"",M49-I49,TODAY()-I49))</f>
        <v/>
      </c>
      <c r="O49" s="12"/>
      <c r="P49" s="13"/>
    </row>
    <row r="50" customFormat="false" ht="19.5" hidden="false" customHeight="true" outlineLevel="0" collapsed="false">
      <c r="A50" s="13"/>
      <c r="B50" s="13"/>
      <c r="C50" s="29" t="str">
        <f aca="false">IF(B50="","",IFERROR(INDEX('Test Cases'!$B$5:$B$204,MATCH(B50,'Test Cases'!$A$5:$A$204,0)),"Unknown test"))</f>
        <v/>
      </c>
      <c r="D50" s="29" t="str">
        <f aca="false">IF(B50="","",IFERROR(INDEX('Test Cases'!$D$5:$D$204,MATCH(B50,'Test Cases'!$A$5:$A$204,0)),"Unknown test"))</f>
        <v/>
      </c>
      <c r="E50" s="12"/>
      <c r="F50" s="12"/>
      <c r="G50" s="13"/>
      <c r="H50" s="13"/>
      <c r="I50" s="14"/>
      <c r="J50" s="12"/>
      <c r="K50" s="13"/>
      <c r="L50" s="13"/>
      <c r="M50" s="14"/>
      <c r="N50" s="29" t="str">
        <f aca="true">IF(OR(A50="",I50=""),"",IF(M50&lt;&gt;"",M50-I50,TODAY()-I50))</f>
        <v/>
      </c>
      <c r="O50" s="12"/>
      <c r="P50" s="13"/>
    </row>
    <row r="51" customFormat="false" ht="19.5" hidden="false" customHeight="true" outlineLevel="0" collapsed="false">
      <c r="A51" s="13"/>
      <c r="B51" s="13"/>
      <c r="C51" s="29" t="str">
        <f aca="false">IF(B51="","",IFERROR(INDEX('Test Cases'!$B$5:$B$204,MATCH(B51,'Test Cases'!$A$5:$A$204,0)),"Unknown test"))</f>
        <v/>
      </c>
      <c r="D51" s="29" t="str">
        <f aca="false">IF(B51="","",IFERROR(INDEX('Test Cases'!$D$5:$D$204,MATCH(B51,'Test Cases'!$A$5:$A$204,0)),"Unknown test"))</f>
        <v/>
      </c>
      <c r="E51" s="12"/>
      <c r="F51" s="12"/>
      <c r="G51" s="13"/>
      <c r="H51" s="13"/>
      <c r="I51" s="14"/>
      <c r="J51" s="12"/>
      <c r="K51" s="13"/>
      <c r="L51" s="13"/>
      <c r="M51" s="14"/>
      <c r="N51" s="29" t="str">
        <f aca="true">IF(OR(A51="",I51=""),"",IF(M51&lt;&gt;"",M51-I51,TODAY()-I51))</f>
        <v/>
      </c>
      <c r="O51" s="12"/>
      <c r="P51" s="13"/>
    </row>
    <row r="52" customFormat="false" ht="19.5" hidden="false" customHeight="true" outlineLevel="0" collapsed="false">
      <c r="A52" s="13"/>
      <c r="B52" s="13"/>
      <c r="C52" s="29" t="str">
        <f aca="false">IF(B52="","",IFERROR(INDEX('Test Cases'!$B$5:$B$204,MATCH(B52,'Test Cases'!$A$5:$A$204,0)),"Unknown test"))</f>
        <v/>
      </c>
      <c r="D52" s="29" t="str">
        <f aca="false">IF(B52="","",IFERROR(INDEX('Test Cases'!$D$5:$D$204,MATCH(B52,'Test Cases'!$A$5:$A$204,0)),"Unknown test"))</f>
        <v/>
      </c>
      <c r="E52" s="12"/>
      <c r="F52" s="12"/>
      <c r="G52" s="13"/>
      <c r="H52" s="13"/>
      <c r="I52" s="14"/>
      <c r="J52" s="12"/>
      <c r="K52" s="13"/>
      <c r="L52" s="13"/>
      <c r="M52" s="14"/>
      <c r="N52" s="29" t="str">
        <f aca="true">IF(OR(A52="",I52=""),"",IF(M52&lt;&gt;"",M52-I52,TODAY()-I52))</f>
        <v/>
      </c>
      <c r="O52" s="12"/>
      <c r="P52" s="13"/>
    </row>
    <row r="53" customFormat="false" ht="19.5" hidden="false" customHeight="true" outlineLevel="0" collapsed="false">
      <c r="A53" s="13"/>
      <c r="B53" s="13"/>
      <c r="C53" s="29" t="str">
        <f aca="false">IF(B53="","",IFERROR(INDEX('Test Cases'!$B$5:$B$204,MATCH(B53,'Test Cases'!$A$5:$A$204,0)),"Unknown test"))</f>
        <v/>
      </c>
      <c r="D53" s="29" t="str">
        <f aca="false">IF(B53="","",IFERROR(INDEX('Test Cases'!$D$5:$D$204,MATCH(B53,'Test Cases'!$A$5:$A$204,0)),"Unknown test"))</f>
        <v/>
      </c>
      <c r="E53" s="12"/>
      <c r="F53" s="12"/>
      <c r="G53" s="13"/>
      <c r="H53" s="13"/>
      <c r="I53" s="14"/>
      <c r="J53" s="12"/>
      <c r="K53" s="13"/>
      <c r="L53" s="13"/>
      <c r="M53" s="14"/>
      <c r="N53" s="29" t="str">
        <f aca="true">IF(OR(A53="",I53=""),"",IF(M53&lt;&gt;"",M53-I53,TODAY()-I53))</f>
        <v/>
      </c>
      <c r="O53" s="12"/>
      <c r="P53" s="13"/>
    </row>
    <row r="54" customFormat="false" ht="19.5" hidden="false" customHeight="true" outlineLevel="0" collapsed="false">
      <c r="A54" s="13"/>
      <c r="B54" s="13"/>
      <c r="C54" s="29" t="str">
        <f aca="false">IF(B54="","",IFERROR(INDEX('Test Cases'!$B$5:$B$204,MATCH(B54,'Test Cases'!$A$5:$A$204,0)),"Unknown test"))</f>
        <v/>
      </c>
      <c r="D54" s="29" t="str">
        <f aca="false">IF(B54="","",IFERROR(INDEX('Test Cases'!$D$5:$D$204,MATCH(B54,'Test Cases'!$A$5:$A$204,0)),"Unknown test"))</f>
        <v/>
      </c>
      <c r="E54" s="12"/>
      <c r="F54" s="12"/>
      <c r="G54" s="13"/>
      <c r="H54" s="13"/>
      <c r="I54" s="14"/>
      <c r="J54" s="12"/>
      <c r="K54" s="13"/>
      <c r="L54" s="13"/>
      <c r="M54" s="14"/>
      <c r="N54" s="29" t="str">
        <f aca="true">IF(OR(A54="",I54=""),"",IF(M54&lt;&gt;"",M54-I54,TODAY()-I54))</f>
        <v/>
      </c>
      <c r="O54" s="12"/>
      <c r="P54" s="13"/>
    </row>
    <row r="55" customFormat="false" ht="19.5" hidden="false" customHeight="true" outlineLevel="0" collapsed="false">
      <c r="A55" s="13"/>
      <c r="B55" s="13"/>
      <c r="C55" s="29" t="str">
        <f aca="false">IF(B55="","",IFERROR(INDEX('Test Cases'!$B$5:$B$204,MATCH(B55,'Test Cases'!$A$5:$A$204,0)),"Unknown test"))</f>
        <v/>
      </c>
      <c r="D55" s="29" t="str">
        <f aca="false">IF(B55="","",IFERROR(INDEX('Test Cases'!$D$5:$D$204,MATCH(B55,'Test Cases'!$A$5:$A$204,0)),"Unknown test"))</f>
        <v/>
      </c>
      <c r="E55" s="12"/>
      <c r="F55" s="12"/>
      <c r="G55" s="13"/>
      <c r="H55" s="13"/>
      <c r="I55" s="14"/>
      <c r="J55" s="12"/>
      <c r="K55" s="13"/>
      <c r="L55" s="13"/>
      <c r="M55" s="14"/>
      <c r="N55" s="29" t="str">
        <f aca="true">IF(OR(A55="",I55=""),"",IF(M55&lt;&gt;"",M55-I55,TODAY()-I55))</f>
        <v/>
      </c>
      <c r="O55" s="12"/>
      <c r="P55" s="13"/>
    </row>
    <row r="56" customFormat="false" ht="19.5" hidden="false" customHeight="true" outlineLevel="0" collapsed="false">
      <c r="A56" s="13"/>
      <c r="B56" s="13"/>
      <c r="C56" s="29" t="str">
        <f aca="false">IF(B56="","",IFERROR(INDEX('Test Cases'!$B$5:$B$204,MATCH(B56,'Test Cases'!$A$5:$A$204,0)),"Unknown test"))</f>
        <v/>
      </c>
      <c r="D56" s="29" t="str">
        <f aca="false">IF(B56="","",IFERROR(INDEX('Test Cases'!$D$5:$D$204,MATCH(B56,'Test Cases'!$A$5:$A$204,0)),"Unknown test"))</f>
        <v/>
      </c>
      <c r="E56" s="12"/>
      <c r="F56" s="12"/>
      <c r="G56" s="13"/>
      <c r="H56" s="13"/>
      <c r="I56" s="14"/>
      <c r="J56" s="12"/>
      <c r="K56" s="13"/>
      <c r="L56" s="13"/>
      <c r="M56" s="14"/>
      <c r="N56" s="29" t="str">
        <f aca="true">IF(OR(A56="",I56=""),"",IF(M56&lt;&gt;"",M56-I56,TODAY()-I56))</f>
        <v/>
      </c>
      <c r="O56" s="12"/>
      <c r="P56" s="13"/>
    </row>
    <row r="57" customFormat="false" ht="19.5" hidden="false" customHeight="true" outlineLevel="0" collapsed="false">
      <c r="A57" s="13"/>
      <c r="B57" s="13"/>
      <c r="C57" s="29" t="str">
        <f aca="false">IF(B57="","",IFERROR(INDEX('Test Cases'!$B$5:$B$204,MATCH(B57,'Test Cases'!$A$5:$A$204,0)),"Unknown test"))</f>
        <v/>
      </c>
      <c r="D57" s="29" t="str">
        <f aca="false">IF(B57="","",IFERROR(INDEX('Test Cases'!$D$5:$D$204,MATCH(B57,'Test Cases'!$A$5:$A$204,0)),"Unknown test"))</f>
        <v/>
      </c>
      <c r="E57" s="12"/>
      <c r="F57" s="12"/>
      <c r="G57" s="13"/>
      <c r="H57" s="13"/>
      <c r="I57" s="14"/>
      <c r="J57" s="12"/>
      <c r="K57" s="13"/>
      <c r="L57" s="13"/>
      <c r="M57" s="14"/>
      <c r="N57" s="29" t="str">
        <f aca="true">IF(OR(A57="",I57=""),"",IF(M57&lt;&gt;"",M57-I57,TODAY()-I57))</f>
        <v/>
      </c>
      <c r="O57" s="12"/>
      <c r="P57" s="13"/>
    </row>
    <row r="58" customFormat="false" ht="19.5" hidden="false" customHeight="true" outlineLevel="0" collapsed="false">
      <c r="A58" s="13"/>
      <c r="B58" s="13"/>
      <c r="C58" s="29" t="str">
        <f aca="false">IF(B58="","",IFERROR(INDEX('Test Cases'!$B$5:$B$204,MATCH(B58,'Test Cases'!$A$5:$A$204,0)),"Unknown test"))</f>
        <v/>
      </c>
      <c r="D58" s="29" t="str">
        <f aca="false">IF(B58="","",IFERROR(INDEX('Test Cases'!$D$5:$D$204,MATCH(B58,'Test Cases'!$A$5:$A$204,0)),"Unknown test"))</f>
        <v/>
      </c>
      <c r="E58" s="12"/>
      <c r="F58" s="12"/>
      <c r="G58" s="13"/>
      <c r="H58" s="13"/>
      <c r="I58" s="14"/>
      <c r="J58" s="12"/>
      <c r="K58" s="13"/>
      <c r="L58" s="13"/>
      <c r="M58" s="14"/>
      <c r="N58" s="29" t="str">
        <f aca="true">IF(OR(A58="",I58=""),"",IF(M58&lt;&gt;"",M58-I58,TODAY()-I58))</f>
        <v/>
      </c>
      <c r="O58" s="12"/>
      <c r="P58" s="13"/>
    </row>
    <row r="59" customFormat="false" ht="19.5" hidden="false" customHeight="true" outlineLevel="0" collapsed="false">
      <c r="A59" s="13"/>
      <c r="B59" s="13"/>
      <c r="C59" s="29" t="str">
        <f aca="false">IF(B59="","",IFERROR(INDEX('Test Cases'!$B$5:$B$204,MATCH(B59,'Test Cases'!$A$5:$A$204,0)),"Unknown test"))</f>
        <v/>
      </c>
      <c r="D59" s="29" t="str">
        <f aca="false">IF(B59="","",IFERROR(INDEX('Test Cases'!$D$5:$D$204,MATCH(B59,'Test Cases'!$A$5:$A$204,0)),"Unknown test"))</f>
        <v/>
      </c>
      <c r="E59" s="12"/>
      <c r="F59" s="12"/>
      <c r="G59" s="13"/>
      <c r="H59" s="13"/>
      <c r="I59" s="14"/>
      <c r="J59" s="12"/>
      <c r="K59" s="13"/>
      <c r="L59" s="13"/>
      <c r="M59" s="14"/>
      <c r="N59" s="29" t="str">
        <f aca="true">IF(OR(A59="",I59=""),"",IF(M59&lt;&gt;"",M59-I59,TODAY()-I59))</f>
        <v/>
      </c>
      <c r="O59" s="12"/>
      <c r="P59" s="13"/>
    </row>
    <row r="60" customFormat="false" ht="19.5" hidden="false" customHeight="true" outlineLevel="0" collapsed="false">
      <c r="A60" s="13"/>
      <c r="B60" s="13"/>
      <c r="C60" s="29" t="str">
        <f aca="false">IF(B60="","",IFERROR(INDEX('Test Cases'!$B$5:$B$204,MATCH(B60,'Test Cases'!$A$5:$A$204,0)),"Unknown test"))</f>
        <v/>
      </c>
      <c r="D60" s="29" t="str">
        <f aca="false">IF(B60="","",IFERROR(INDEX('Test Cases'!$D$5:$D$204,MATCH(B60,'Test Cases'!$A$5:$A$204,0)),"Unknown test"))</f>
        <v/>
      </c>
      <c r="E60" s="12"/>
      <c r="F60" s="12"/>
      <c r="G60" s="13"/>
      <c r="H60" s="13"/>
      <c r="I60" s="14"/>
      <c r="J60" s="12"/>
      <c r="K60" s="13"/>
      <c r="L60" s="13"/>
      <c r="M60" s="14"/>
      <c r="N60" s="29" t="str">
        <f aca="true">IF(OR(A60="",I60=""),"",IF(M60&lt;&gt;"",M60-I60,TODAY()-I60))</f>
        <v/>
      </c>
      <c r="O60" s="12"/>
      <c r="P60" s="13"/>
    </row>
    <row r="61" customFormat="false" ht="19.5" hidden="false" customHeight="true" outlineLevel="0" collapsed="false">
      <c r="A61" s="13"/>
      <c r="B61" s="13"/>
      <c r="C61" s="29" t="str">
        <f aca="false">IF(B61="","",IFERROR(INDEX('Test Cases'!$B$5:$B$204,MATCH(B61,'Test Cases'!$A$5:$A$204,0)),"Unknown test"))</f>
        <v/>
      </c>
      <c r="D61" s="29" t="str">
        <f aca="false">IF(B61="","",IFERROR(INDEX('Test Cases'!$D$5:$D$204,MATCH(B61,'Test Cases'!$A$5:$A$204,0)),"Unknown test"))</f>
        <v/>
      </c>
      <c r="E61" s="12"/>
      <c r="F61" s="12"/>
      <c r="G61" s="13"/>
      <c r="H61" s="13"/>
      <c r="I61" s="14"/>
      <c r="J61" s="12"/>
      <c r="K61" s="13"/>
      <c r="L61" s="13"/>
      <c r="M61" s="14"/>
      <c r="N61" s="29" t="str">
        <f aca="true">IF(OR(A61="",I61=""),"",IF(M61&lt;&gt;"",M61-I61,TODAY()-I61))</f>
        <v/>
      </c>
      <c r="O61" s="12"/>
      <c r="P61" s="13"/>
    </row>
    <row r="62" customFormat="false" ht="19.5" hidden="false" customHeight="true" outlineLevel="0" collapsed="false">
      <c r="A62" s="13"/>
      <c r="B62" s="13"/>
      <c r="C62" s="29" t="str">
        <f aca="false">IF(B62="","",IFERROR(INDEX('Test Cases'!$B$5:$B$204,MATCH(B62,'Test Cases'!$A$5:$A$204,0)),"Unknown test"))</f>
        <v/>
      </c>
      <c r="D62" s="29" t="str">
        <f aca="false">IF(B62="","",IFERROR(INDEX('Test Cases'!$D$5:$D$204,MATCH(B62,'Test Cases'!$A$5:$A$204,0)),"Unknown test"))</f>
        <v/>
      </c>
      <c r="E62" s="12"/>
      <c r="F62" s="12"/>
      <c r="G62" s="13"/>
      <c r="H62" s="13"/>
      <c r="I62" s="14"/>
      <c r="J62" s="12"/>
      <c r="K62" s="13"/>
      <c r="L62" s="13"/>
      <c r="M62" s="14"/>
      <c r="N62" s="29" t="str">
        <f aca="true">IF(OR(A62="",I62=""),"",IF(M62&lt;&gt;"",M62-I62,TODAY()-I62))</f>
        <v/>
      </c>
      <c r="O62" s="12"/>
      <c r="P62" s="13"/>
    </row>
    <row r="63" customFormat="false" ht="19.5" hidden="false" customHeight="true" outlineLevel="0" collapsed="false">
      <c r="A63" s="13"/>
      <c r="B63" s="13"/>
      <c r="C63" s="29" t="str">
        <f aca="false">IF(B63="","",IFERROR(INDEX('Test Cases'!$B$5:$B$204,MATCH(B63,'Test Cases'!$A$5:$A$204,0)),"Unknown test"))</f>
        <v/>
      </c>
      <c r="D63" s="29" t="str">
        <f aca="false">IF(B63="","",IFERROR(INDEX('Test Cases'!$D$5:$D$204,MATCH(B63,'Test Cases'!$A$5:$A$204,0)),"Unknown test"))</f>
        <v/>
      </c>
      <c r="E63" s="12"/>
      <c r="F63" s="12"/>
      <c r="G63" s="13"/>
      <c r="H63" s="13"/>
      <c r="I63" s="14"/>
      <c r="J63" s="12"/>
      <c r="K63" s="13"/>
      <c r="L63" s="13"/>
      <c r="M63" s="14"/>
      <c r="N63" s="29" t="str">
        <f aca="true">IF(OR(A63="",I63=""),"",IF(M63&lt;&gt;"",M63-I63,TODAY()-I63))</f>
        <v/>
      </c>
      <c r="O63" s="12"/>
      <c r="P63" s="13"/>
    </row>
    <row r="64" customFormat="false" ht="19.5" hidden="false" customHeight="true" outlineLevel="0" collapsed="false">
      <c r="A64" s="13"/>
      <c r="B64" s="13"/>
      <c r="C64" s="29" t="str">
        <f aca="false">IF(B64="","",IFERROR(INDEX('Test Cases'!$B$5:$B$204,MATCH(B64,'Test Cases'!$A$5:$A$204,0)),"Unknown test"))</f>
        <v/>
      </c>
      <c r="D64" s="29" t="str">
        <f aca="false">IF(B64="","",IFERROR(INDEX('Test Cases'!$D$5:$D$204,MATCH(B64,'Test Cases'!$A$5:$A$204,0)),"Unknown test"))</f>
        <v/>
      </c>
      <c r="E64" s="12"/>
      <c r="F64" s="12"/>
      <c r="G64" s="13"/>
      <c r="H64" s="13"/>
      <c r="I64" s="14"/>
      <c r="J64" s="12"/>
      <c r="K64" s="13"/>
      <c r="L64" s="13"/>
      <c r="M64" s="14"/>
      <c r="N64" s="29" t="str">
        <f aca="true">IF(OR(A64="",I64=""),"",IF(M64&lt;&gt;"",M64-I64,TODAY()-I64))</f>
        <v/>
      </c>
      <c r="O64" s="12"/>
      <c r="P64" s="13"/>
    </row>
    <row r="65" customFormat="false" ht="19.5" hidden="false" customHeight="true" outlineLevel="0" collapsed="false">
      <c r="A65" s="13"/>
      <c r="B65" s="13"/>
      <c r="C65" s="29" t="str">
        <f aca="false">IF(B65="","",IFERROR(INDEX('Test Cases'!$B$5:$B$204,MATCH(B65,'Test Cases'!$A$5:$A$204,0)),"Unknown test"))</f>
        <v/>
      </c>
      <c r="D65" s="29" t="str">
        <f aca="false">IF(B65="","",IFERROR(INDEX('Test Cases'!$D$5:$D$204,MATCH(B65,'Test Cases'!$A$5:$A$204,0)),"Unknown test"))</f>
        <v/>
      </c>
      <c r="E65" s="12"/>
      <c r="F65" s="12"/>
      <c r="G65" s="13"/>
      <c r="H65" s="13"/>
      <c r="I65" s="14"/>
      <c r="J65" s="12"/>
      <c r="K65" s="13"/>
      <c r="L65" s="13"/>
      <c r="M65" s="14"/>
      <c r="N65" s="29" t="str">
        <f aca="true">IF(OR(A65="",I65=""),"",IF(M65&lt;&gt;"",M65-I65,TODAY()-I65))</f>
        <v/>
      </c>
      <c r="O65" s="12"/>
      <c r="P65" s="13"/>
    </row>
    <row r="66" customFormat="false" ht="19.5" hidden="false" customHeight="true" outlineLevel="0" collapsed="false">
      <c r="A66" s="13"/>
      <c r="B66" s="13"/>
      <c r="C66" s="29" t="str">
        <f aca="false">IF(B66="","",IFERROR(INDEX('Test Cases'!$B$5:$B$204,MATCH(B66,'Test Cases'!$A$5:$A$204,0)),"Unknown test"))</f>
        <v/>
      </c>
      <c r="D66" s="29" t="str">
        <f aca="false">IF(B66="","",IFERROR(INDEX('Test Cases'!$D$5:$D$204,MATCH(B66,'Test Cases'!$A$5:$A$204,0)),"Unknown test"))</f>
        <v/>
      </c>
      <c r="E66" s="12"/>
      <c r="F66" s="12"/>
      <c r="G66" s="13"/>
      <c r="H66" s="13"/>
      <c r="I66" s="14"/>
      <c r="J66" s="12"/>
      <c r="K66" s="13"/>
      <c r="L66" s="13"/>
      <c r="M66" s="14"/>
      <c r="N66" s="29" t="str">
        <f aca="true">IF(OR(A66="",I66=""),"",IF(M66&lt;&gt;"",M66-I66,TODAY()-I66))</f>
        <v/>
      </c>
      <c r="O66" s="12"/>
      <c r="P66" s="13"/>
    </row>
    <row r="67" customFormat="false" ht="19.5" hidden="false" customHeight="true" outlineLevel="0" collapsed="false">
      <c r="A67" s="13"/>
      <c r="B67" s="13"/>
      <c r="C67" s="29" t="str">
        <f aca="false">IF(B67="","",IFERROR(INDEX('Test Cases'!$B$5:$B$204,MATCH(B67,'Test Cases'!$A$5:$A$204,0)),"Unknown test"))</f>
        <v/>
      </c>
      <c r="D67" s="29" t="str">
        <f aca="false">IF(B67="","",IFERROR(INDEX('Test Cases'!$D$5:$D$204,MATCH(B67,'Test Cases'!$A$5:$A$204,0)),"Unknown test"))</f>
        <v/>
      </c>
      <c r="E67" s="12"/>
      <c r="F67" s="12"/>
      <c r="G67" s="13"/>
      <c r="H67" s="13"/>
      <c r="I67" s="14"/>
      <c r="J67" s="12"/>
      <c r="K67" s="13"/>
      <c r="L67" s="13"/>
      <c r="M67" s="14"/>
      <c r="N67" s="29" t="str">
        <f aca="true">IF(OR(A67="",I67=""),"",IF(M67&lt;&gt;"",M67-I67,TODAY()-I67))</f>
        <v/>
      </c>
      <c r="O67" s="12"/>
      <c r="P67" s="13"/>
    </row>
    <row r="68" customFormat="false" ht="19.5" hidden="false" customHeight="true" outlineLevel="0" collapsed="false">
      <c r="A68" s="13"/>
      <c r="B68" s="13"/>
      <c r="C68" s="29" t="str">
        <f aca="false">IF(B68="","",IFERROR(INDEX('Test Cases'!$B$5:$B$204,MATCH(B68,'Test Cases'!$A$5:$A$204,0)),"Unknown test"))</f>
        <v/>
      </c>
      <c r="D68" s="29" t="str">
        <f aca="false">IF(B68="","",IFERROR(INDEX('Test Cases'!$D$5:$D$204,MATCH(B68,'Test Cases'!$A$5:$A$204,0)),"Unknown test"))</f>
        <v/>
      </c>
      <c r="E68" s="12"/>
      <c r="F68" s="12"/>
      <c r="G68" s="13"/>
      <c r="H68" s="13"/>
      <c r="I68" s="14"/>
      <c r="J68" s="12"/>
      <c r="K68" s="13"/>
      <c r="L68" s="13"/>
      <c r="M68" s="14"/>
      <c r="N68" s="29" t="str">
        <f aca="true">IF(OR(A68="",I68=""),"",IF(M68&lt;&gt;"",M68-I68,TODAY()-I68))</f>
        <v/>
      </c>
      <c r="O68" s="12"/>
      <c r="P68" s="13"/>
    </row>
    <row r="69" customFormat="false" ht="19.5" hidden="false" customHeight="true" outlineLevel="0" collapsed="false">
      <c r="A69" s="13"/>
      <c r="B69" s="13"/>
      <c r="C69" s="29" t="str">
        <f aca="false">IF(B69="","",IFERROR(INDEX('Test Cases'!$B$5:$B$204,MATCH(B69,'Test Cases'!$A$5:$A$204,0)),"Unknown test"))</f>
        <v/>
      </c>
      <c r="D69" s="29" t="str">
        <f aca="false">IF(B69="","",IFERROR(INDEX('Test Cases'!$D$5:$D$204,MATCH(B69,'Test Cases'!$A$5:$A$204,0)),"Unknown test"))</f>
        <v/>
      </c>
      <c r="E69" s="12"/>
      <c r="F69" s="12"/>
      <c r="G69" s="13"/>
      <c r="H69" s="13"/>
      <c r="I69" s="14"/>
      <c r="J69" s="12"/>
      <c r="K69" s="13"/>
      <c r="L69" s="13"/>
      <c r="M69" s="14"/>
      <c r="N69" s="29" t="str">
        <f aca="true">IF(OR(A69="",I69=""),"",IF(M69&lt;&gt;"",M69-I69,TODAY()-I69))</f>
        <v/>
      </c>
      <c r="O69" s="12"/>
      <c r="P69" s="13"/>
    </row>
    <row r="70" customFormat="false" ht="19.5" hidden="false" customHeight="true" outlineLevel="0" collapsed="false">
      <c r="A70" s="13"/>
      <c r="B70" s="13"/>
      <c r="C70" s="29" t="str">
        <f aca="false">IF(B70="","",IFERROR(INDEX('Test Cases'!$B$5:$B$204,MATCH(B70,'Test Cases'!$A$5:$A$204,0)),"Unknown test"))</f>
        <v/>
      </c>
      <c r="D70" s="29" t="str">
        <f aca="false">IF(B70="","",IFERROR(INDEX('Test Cases'!$D$5:$D$204,MATCH(B70,'Test Cases'!$A$5:$A$204,0)),"Unknown test"))</f>
        <v/>
      </c>
      <c r="E70" s="12"/>
      <c r="F70" s="12"/>
      <c r="G70" s="13"/>
      <c r="H70" s="13"/>
      <c r="I70" s="14"/>
      <c r="J70" s="12"/>
      <c r="K70" s="13"/>
      <c r="L70" s="13"/>
      <c r="M70" s="14"/>
      <c r="N70" s="29" t="str">
        <f aca="true">IF(OR(A70="",I70=""),"",IF(M70&lt;&gt;"",M70-I70,TODAY()-I70))</f>
        <v/>
      </c>
      <c r="O70" s="12"/>
      <c r="P70" s="13"/>
    </row>
    <row r="71" customFormat="false" ht="19.5" hidden="false" customHeight="true" outlineLevel="0" collapsed="false">
      <c r="A71" s="13"/>
      <c r="B71" s="13"/>
      <c r="C71" s="29" t="str">
        <f aca="false">IF(B71="","",IFERROR(INDEX('Test Cases'!$B$5:$B$204,MATCH(B71,'Test Cases'!$A$5:$A$204,0)),"Unknown test"))</f>
        <v/>
      </c>
      <c r="D71" s="29" t="str">
        <f aca="false">IF(B71="","",IFERROR(INDEX('Test Cases'!$D$5:$D$204,MATCH(B71,'Test Cases'!$A$5:$A$204,0)),"Unknown test"))</f>
        <v/>
      </c>
      <c r="E71" s="12"/>
      <c r="F71" s="12"/>
      <c r="G71" s="13"/>
      <c r="H71" s="13"/>
      <c r="I71" s="14"/>
      <c r="J71" s="12"/>
      <c r="K71" s="13"/>
      <c r="L71" s="13"/>
      <c r="M71" s="14"/>
      <c r="N71" s="29" t="str">
        <f aca="true">IF(OR(A71="",I71=""),"",IF(M71&lt;&gt;"",M71-I71,TODAY()-I71))</f>
        <v/>
      </c>
      <c r="O71" s="12"/>
      <c r="P71" s="13"/>
    </row>
    <row r="72" customFormat="false" ht="19.5" hidden="false" customHeight="true" outlineLevel="0" collapsed="false">
      <c r="A72" s="13"/>
      <c r="B72" s="13"/>
      <c r="C72" s="29" t="str">
        <f aca="false">IF(B72="","",IFERROR(INDEX('Test Cases'!$B$5:$B$204,MATCH(B72,'Test Cases'!$A$5:$A$204,0)),"Unknown test"))</f>
        <v/>
      </c>
      <c r="D72" s="29" t="str">
        <f aca="false">IF(B72="","",IFERROR(INDEX('Test Cases'!$D$5:$D$204,MATCH(B72,'Test Cases'!$A$5:$A$204,0)),"Unknown test"))</f>
        <v/>
      </c>
      <c r="E72" s="12"/>
      <c r="F72" s="12"/>
      <c r="G72" s="13"/>
      <c r="H72" s="13"/>
      <c r="I72" s="14"/>
      <c r="J72" s="12"/>
      <c r="K72" s="13"/>
      <c r="L72" s="13"/>
      <c r="M72" s="14"/>
      <c r="N72" s="29" t="str">
        <f aca="true">IF(OR(A72="",I72=""),"",IF(M72&lt;&gt;"",M72-I72,TODAY()-I72))</f>
        <v/>
      </c>
      <c r="O72" s="12"/>
      <c r="P72" s="13"/>
    </row>
    <row r="73" customFormat="false" ht="19.5" hidden="false" customHeight="true" outlineLevel="0" collapsed="false">
      <c r="A73" s="13"/>
      <c r="B73" s="13"/>
      <c r="C73" s="29" t="str">
        <f aca="false">IF(B73="","",IFERROR(INDEX('Test Cases'!$B$5:$B$204,MATCH(B73,'Test Cases'!$A$5:$A$204,0)),"Unknown test"))</f>
        <v/>
      </c>
      <c r="D73" s="29" t="str">
        <f aca="false">IF(B73="","",IFERROR(INDEX('Test Cases'!$D$5:$D$204,MATCH(B73,'Test Cases'!$A$5:$A$204,0)),"Unknown test"))</f>
        <v/>
      </c>
      <c r="E73" s="12"/>
      <c r="F73" s="12"/>
      <c r="G73" s="13"/>
      <c r="H73" s="13"/>
      <c r="I73" s="14"/>
      <c r="J73" s="12"/>
      <c r="K73" s="13"/>
      <c r="L73" s="13"/>
      <c r="M73" s="14"/>
      <c r="N73" s="29" t="str">
        <f aca="true">IF(OR(A73="",I73=""),"",IF(M73&lt;&gt;"",M73-I73,TODAY()-I73))</f>
        <v/>
      </c>
      <c r="O73" s="12"/>
      <c r="P73" s="13"/>
    </row>
    <row r="74" customFormat="false" ht="19.5" hidden="false" customHeight="true" outlineLevel="0" collapsed="false">
      <c r="A74" s="13"/>
      <c r="B74" s="13"/>
      <c r="C74" s="29" t="str">
        <f aca="false">IF(B74="","",IFERROR(INDEX('Test Cases'!$B$5:$B$204,MATCH(B74,'Test Cases'!$A$5:$A$204,0)),"Unknown test"))</f>
        <v/>
      </c>
      <c r="D74" s="29" t="str">
        <f aca="false">IF(B74="","",IFERROR(INDEX('Test Cases'!$D$5:$D$204,MATCH(B74,'Test Cases'!$A$5:$A$204,0)),"Unknown test"))</f>
        <v/>
      </c>
      <c r="E74" s="12"/>
      <c r="F74" s="12"/>
      <c r="G74" s="13"/>
      <c r="H74" s="13"/>
      <c r="I74" s="14"/>
      <c r="J74" s="12"/>
      <c r="K74" s="13"/>
      <c r="L74" s="13"/>
      <c r="M74" s="14"/>
      <c r="N74" s="29" t="str">
        <f aca="true">IF(OR(A74="",I74=""),"",IF(M74&lt;&gt;"",M74-I74,TODAY()-I74))</f>
        <v/>
      </c>
      <c r="O74" s="12"/>
      <c r="P74" s="13"/>
    </row>
    <row r="75" customFormat="false" ht="19.5" hidden="false" customHeight="true" outlineLevel="0" collapsed="false">
      <c r="A75" s="13"/>
      <c r="B75" s="13"/>
      <c r="C75" s="29" t="str">
        <f aca="false">IF(B75="","",IFERROR(INDEX('Test Cases'!$B$5:$B$204,MATCH(B75,'Test Cases'!$A$5:$A$204,0)),"Unknown test"))</f>
        <v/>
      </c>
      <c r="D75" s="29" t="str">
        <f aca="false">IF(B75="","",IFERROR(INDEX('Test Cases'!$D$5:$D$204,MATCH(B75,'Test Cases'!$A$5:$A$204,0)),"Unknown test"))</f>
        <v/>
      </c>
      <c r="E75" s="12"/>
      <c r="F75" s="12"/>
      <c r="G75" s="13"/>
      <c r="H75" s="13"/>
      <c r="I75" s="14"/>
      <c r="J75" s="12"/>
      <c r="K75" s="13"/>
      <c r="L75" s="13"/>
      <c r="M75" s="14"/>
      <c r="N75" s="29" t="str">
        <f aca="true">IF(OR(A75="",I75=""),"",IF(M75&lt;&gt;"",M75-I75,TODAY()-I75))</f>
        <v/>
      </c>
      <c r="O75" s="12"/>
      <c r="P75" s="13"/>
    </row>
    <row r="76" customFormat="false" ht="19.5" hidden="false" customHeight="true" outlineLevel="0" collapsed="false">
      <c r="A76" s="13"/>
      <c r="B76" s="13"/>
      <c r="C76" s="29" t="str">
        <f aca="false">IF(B76="","",IFERROR(INDEX('Test Cases'!$B$5:$B$204,MATCH(B76,'Test Cases'!$A$5:$A$204,0)),"Unknown test"))</f>
        <v/>
      </c>
      <c r="D76" s="29" t="str">
        <f aca="false">IF(B76="","",IFERROR(INDEX('Test Cases'!$D$5:$D$204,MATCH(B76,'Test Cases'!$A$5:$A$204,0)),"Unknown test"))</f>
        <v/>
      </c>
      <c r="E76" s="12"/>
      <c r="F76" s="12"/>
      <c r="G76" s="13"/>
      <c r="H76" s="13"/>
      <c r="I76" s="14"/>
      <c r="J76" s="12"/>
      <c r="K76" s="13"/>
      <c r="L76" s="13"/>
      <c r="M76" s="14"/>
      <c r="N76" s="29" t="str">
        <f aca="true">IF(OR(A76="",I76=""),"",IF(M76&lt;&gt;"",M76-I76,TODAY()-I76))</f>
        <v/>
      </c>
      <c r="O76" s="12"/>
      <c r="P76" s="13"/>
    </row>
    <row r="77" customFormat="false" ht="19.5" hidden="false" customHeight="true" outlineLevel="0" collapsed="false">
      <c r="A77" s="13"/>
      <c r="B77" s="13"/>
      <c r="C77" s="29" t="str">
        <f aca="false">IF(B77="","",IFERROR(INDEX('Test Cases'!$B$5:$B$204,MATCH(B77,'Test Cases'!$A$5:$A$204,0)),"Unknown test"))</f>
        <v/>
      </c>
      <c r="D77" s="29" t="str">
        <f aca="false">IF(B77="","",IFERROR(INDEX('Test Cases'!$D$5:$D$204,MATCH(B77,'Test Cases'!$A$5:$A$204,0)),"Unknown test"))</f>
        <v/>
      </c>
      <c r="E77" s="12"/>
      <c r="F77" s="12"/>
      <c r="G77" s="13"/>
      <c r="H77" s="13"/>
      <c r="I77" s="14"/>
      <c r="J77" s="12"/>
      <c r="K77" s="13"/>
      <c r="L77" s="13"/>
      <c r="M77" s="14"/>
      <c r="N77" s="29" t="str">
        <f aca="true">IF(OR(A77="",I77=""),"",IF(M77&lt;&gt;"",M77-I77,TODAY()-I77))</f>
        <v/>
      </c>
      <c r="O77" s="12"/>
      <c r="P77" s="13"/>
    </row>
    <row r="78" customFormat="false" ht="19.5" hidden="false" customHeight="true" outlineLevel="0" collapsed="false">
      <c r="A78" s="13"/>
      <c r="B78" s="13"/>
      <c r="C78" s="29" t="str">
        <f aca="false">IF(B78="","",IFERROR(INDEX('Test Cases'!$B$5:$B$204,MATCH(B78,'Test Cases'!$A$5:$A$204,0)),"Unknown test"))</f>
        <v/>
      </c>
      <c r="D78" s="29" t="str">
        <f aca="false">IF(B78="","",IFERROR(INDEX('Test Cases'!$D$5:$D$204,MATCH(B78,'Test Cases'!$A$5:$A$204,0)),"Unknown test"))</f>
        <v/>
      </c>
      <c r="E78" s="12"/>
      <c r="F78" s="12"/>
      <c r="G78" s="13"/>
      <c r="H78" s="13"/>
      <c r="I78" s="14"/>
      <c r="J78" s="12"/>
      <c r="K78" s="13"/>
      <c r="L78" s="13"/>
      <c r="M78" s="14"/>
      <c r="N78" s="29" t="str">
        <f aca="true">IF(OR(A78="",I78=""),"",IF(M78&lt;&gt;"",M78-I78,TODAY()-I78))</f>
        <v/>
      </c>
      <c r="O78" s="12"/>
      <c r="P78" s="13"/>
    </row>
    <row r="79" customFormat="false" ht="19.5" hidden="false" customHeight="true" outlineLevel="0" collapsed="false">
      <c r="A79" s="13"/>
      <c r="B79" s="13"/>
      <c r="C79" s="29" t="str">
        <f aca="false">IF(B79="","",IFERROR(INDEX('Test Cases'!$B$5:$B$204,MATCH(B79,'Test Cases'!$A$5:$A$204,0)),"Unknown test"))</f>
        <v/>
      </c>
      <c r="D79" s="29" t="str">
        <f aca="false">IF(B79="","",IFERROR(INDEX('Test Cases'!$D$5:$D$204,MATCH(B79,'Test Cases'!$A$5:$A$204,0)),"Unknown test"))</f>
        <v/>
      </c>
      <c r="E79" s="12"/>
      <c r="F79" s="12"/>
      <c r="G79" s="13"/>
      <c r="H79" s="13"/>
      <c r="I79" s="14"/>
      <c r="J79" s="12"/>
      <c r="K79" s="13"/>
      <c r="L79" s="13"/>
      <c r="M79" s="14"/>
      <c r="N79" s="29" t="str">
        <f aca="true">IF(OR(A79="",I79=""),"",IF(M79&lt;&gt;"",M79-I79,TODAY()-I79))</f>
        <v/>
      </c>
      <c r="O79" s="12"/>
      <c r="P79" s="13"/>
    </row>
    <row r="80" customFormat="false" ht="19.5" hidden="false" customHeight="true" outlineLevel="0" collapsed="false">
      <c r="A80" s="13"/>
      <c r="B80" s="13"/>
      <c r="C80" s="29" t="str">
        <f aca="false">IF(B80="","",IFERROR(INDEX('Test Cases'!$B$5:$B$204,MATCH(B80,'Test Cases'!$A$5:$A$204,0)),"Unknown test"))</f>
        <v/>
      </c>
      <c r="D80" s="29" t="str">
        <f aca="false">IF(B80="","",IFERROR(INDEX('Test Cases'!$D$5:$D$204,MATCH(B80,'Test Cases'!$A$5:$A$204,0)),"Unknown test"))</f>
        <v/>
      </c>
      <c r="E80" s="12"/>
      <c r="F80" s="12"/>
      <c r="G80" s="13"/>
      <c r="H80" s="13"/>
      <c r="I80" s="14"/>
      <c r="J80" s="12"/>
      <c r="K80" s="13"/>
      <c r="L80" s="13"/>
      <c r="M80" s="14"/>
      <c r="N80" s="29" t="str">
        <f aca="true">IF(OR(A80="",I80=""),"",IF(M80&lt;&gt;"",M80-I80,TODAY()-I80))</f>
        <v/>
      </c>
      <c r="O80" s="12"/>
      <c r="P80" s="13"/>
    </row>
    <row r="81" customFormat="false" ht="19.5" hidden="false" customHeight="true" outlineLevel="0" collapsed="false">
      <c r="A81" s="13"/>
      <c r="B81" s="13"/>
      <c r="C81" s="29" t="str">
        <f aca="false">IF(B81="","",IFERROR(INDEX('Test Cases'!$B$5:$B$204,MATCH(B81,'Test Cases'!$A$5:$A$204,0)),"Unknown test"))</f>
        <v/>
      </c>
      <c r="D81" s="29" t="str">
        <f aca="false">IF(B81="","",IFERROR(INDEX('Test Cases'!$D$5:$D$204,MATCH(B81,'Test Cases'!$A$5:$A$204,0)),"Unknown test"))</f>
        <v/>
      </c>
      <c r="E81" s="12"/>
      <c r="F81" s="12"/>
      <c r="G81" s="13"/>
      <c r="H81" s="13"/>
      <c r="I81" s="14"/>
      <c r="J81" s="12"/>
      <c r="K81" s="13"/>
      <c r="L81" s="13"/>
      <c r="M81" s="14"/>
      <c r="N81" s="29" t="str">
        <f aca="true">IF(OR(A81="",I81=""),"",IF(M81&lt;&gt;"",M81-I81,TODAY()-I81))</f>
        <v/>
      </c>
      <c r="O81" s="12"/>
      <c r="P81" s="13"/>
    </row>
    <row r="82" customFormat="false" ht="19.5" hidden="false" customHeight="true" outlineLevel="0" collapsed="false">
      <c r="A82" s="13"/>
      <c r="B82" s="13"/>
      <c r="C82" s="29" t="str">
        <f aca="false">IF(B82="","",IFERROR(INDEX('Test Cases'!$B$5:$B$204,MATCH(B82,'Test Cases'!$A$5:$A$204,0)),"Unknown test"))</f>
        <v/>
      </c>
      <c r="D82" s="29" t="str">
        <f aca="false">IF(B82="","",IFERROR(INDEX('Test Cases'!$D$5:$D$204,MATCH(B82,'Test Cases'!$A$5:$A$204,0)),"Unknown test"))</f>
        <v/>
      </c>
      <c r="E82" s="12"/>
      <c r="F82" s="12"/>
      <c r="G82" s="13"/>
      <c r="H82" s="13"/>
      <c r="I82" s="14"/>
      <c r="J82" s="12"/>
      <c r="K82" s="13"/>
      <c r="L82" s="13"/>
      <c r="M82" s="14"/>
      <c r="N82" s="29" t="str">
        <f aca="true">IF(OR(A82="",I82=""),"",IF(M82&lt;&gt;"",M82-I82,TODAY()-I82))</f>
        <v/>
      </c>
      <c r="O82" s="12"/>
      <c r="P82" s="13"/>
    </row>
    <row r="83" customFormat="false" ht="19.5" hidden="false" customHeight="true" outlineLevel="0" collapsed="false">
      <c r="A83" s="13"/>
      <c r="B83" s="13"/>
      <c r="C83" s="29" t="str">
        <f aca="false">IF(B83="","",IFERROR(INDEX('Test Cases'!$B$5:$B$204,MATCH(B83,'Test Cases'!$A$5:$A$204,0)),"Unknown test"))</f>
        <v/>
      </c>
      <c r="D83" s="29" t="str">
        <f aca="false">IF(B83="","",IFERROR(INDEX('Test Cases'!$D$5:$D$204,MATCH(B83,'Test Cases'!$A$5:$A$204,0)),"Unknown test"))</f>
        <v/>
      </c>
      <c r="E83" s="12"/>
      <c r="F83" s="12"/>
      <c r="G83" s="13"/>
      <c r="H83" s="13"/>
      <c r="I83" s="14"/>
      <c r="J83" s="12"/>
      <c r="K83" s="13"/>
      <c r="L83" s="13"/>
      <c r="M83" s="14"/>
      <c r="N83" s="29" t="str">
        <f aca="true">IF(OR(A83="",I83=""),"",IF(M83&lt;&gt;"",M83-I83,TODAY()-I83))</f>
        <v/>
      </c>
      <c r="O83" s="12"/>
      <c r="P83" s="13"/>
    </row>
    <row r="84" customFormat="false" ht="19.5" hidden="false" customHeight="true" outlineLevel="0" collapsed="false">
      <c r="A84" s="13"/>
      <c r="B84" s="13"/>
      <c r="C84" s="29" t="str">
        <f aca="false">IF(B84="","",IFERROR(INDEX('Test Cases'!$B$5:$B$204,MATCH(B84,'Test Cases'!$A$5:$A$204,0)),"Unknown test"))</f>
        <v/>
      </c>
      <c r="D84" s="29" t="str">
        <f aca="false">IF(B84="","",IFERROR(INDEX('Test Cases'!$D$5:$D$204,MATCH(B84,'Test Cases'!$A$5:$A$204,0)),"Unknown test"))</f>
        <v/>
      </c>
      <c r="E84" s="12"/>
      <c r="F84" s="12"/>
      <c r="G84" s="13"/>
      <c r="H84" s="13"/>
      <c r="I84" s="14"/>
      <c r="J84" s="12"/>
      <c r="K84" s="13"/>
      <c r="L84" s="13"/>
      <c r="M84" s="14"/>
      <c r="N84" s="29" t="str">
        <f aca="true">IF(OR(A84="",I84=""),"",IF(M84&lt;&gt;"",M84-I84,TODAY()-I84))</f>
        <v/>
      </c>
      <c r="O84" s="12"/>
      <c r="P84" s="13"/>
    </row>
    <row r="85" customFormat="false" ht="19.5" hidden="false" customHeight="true" outlineLevel="0" collapsed="false">
      <c r="A85" s="13"/>
      <c r="B85" s="13"/>
      <c r="C85" s="29" t="str">
        <f aca="false">IF(B85="","",IFERROR(INDEX('Test Cases'!$B$5:$B$204,MATCH(B85,'Test Cases'!$A$5:$A$204,0)),"Unknown test"))</f>
        <v/>
      </c>
      <c r="D85" s="29" t="str">
        <f aca="false">IF(B85="","",IFERROR(INDEX('Test Cases'!$D$5:$D$204,MATCH(B85,'Test Cases'!$A$5:$A$204,0)),"Unknown test"))</f>
        <v/>
      </c>
      <c r="E85" s="12"/>
      <c r="F85" s="12"/>
      <c r="G85" s="13"/>
      <c r="H85" s="13"/>
      <c r="I85" s="14"/>
      <c r="J85" s="12"/>
      <c r="K85" s="13"/>
      <c r="L85" s="13"/>
      <c r="M85" s="14"/>
      <c r="N85" s="29" t="str">
        <f aca="true">IF(OR(A85="",I85=""),"",IF(M85&lt;&gt;"",M85-I85,TODAY()-I85))</f>
        <v/>
      </c>
      <c r="O85" s="12"/>
      <c r="P85" s="13"/>
    </row>
    <row r="86" customFormat="false" ht="19.5" hidden="false" customHeight="true" outlineLevel="0" collapsed="false">
      <c r="A86" s="13"/>
      <c r="B86" s="13"/>
      <c r="C86" s="29" t="str">
        <f aca="false">IF(B86="","",IFERROR(INDEX('Test Cases'!$B$5:$B$204,MATCH(B86,'Test Cases'!$A$5:$A$204,0)),"Unknown test"))</f>
        <v/>
      </c>
      <c r="D86" s="29" t="str">
        <f aca="false">IF(B86="","",IFERROR(INDEX('Test Cases'!$D$5:$D$204,MATCH(B86,'Test Cases'!$A$5:$A$204,0)),"Unknown test"))</f>
        <v/>
      </c>
      <c r="E86" s="12"/>
      <c r="F86" s="12"/>
      <c r="G86" s="13"/>
      <c r="H86" s="13"/>
      <c r="I86" s="14"/>
      <c r="J86" s="12"/>
      <c r="K86" s="13"/>
      <c r="L86" s="13"/>
      <c r="M86" s="14"/>
      <c r="N86" s="29" t="str">
        <f aca="true">IF(OR(A86="",I86=""),"",IF(M86&lt;&gt;"",M86-I86,TODAY()-I86))</f>
        <v/>
      </c>
      <c r="O86" s="12"/>
      <c r="P86" s="13"/>
    </row>
    <row r="87" customFormat="false" ht="19.5" hidden="false" customHeight="true" outlineLevel="0" collapsed="false">
      <c r="A87" s="13"/>
      <c r="B87" s="13"/>
      <c r="C87" s="29" t="str">
        <f aca="false">IF(B87="","",IFERROR(INDEX('Test Cases'!$B$5:$B$204,MATCH(B87,'Test Cases'!$A$5:$A$204,0)),"Unknown test"))</f>
        <v/>
      </c>
      <c r="D87" s="29" t="str">
        <f aca="false">IF(B87="","",IFERROR(INDEX('Test Cases'!$D$5:$D$204,MATCH(B87,'Test Cases'!$A$5:$A$204,0)),"Unknown test"))</f>
        <v/>
      </c>
      <c r="E87" s="12"/>
      <c r="F87" s="12"/>
      <c r="G87" s="13"/>
      <c r="H87" s="13"/>
      <c r="I87" s="14"/>
      <c r="J87" s="12"/>
      <c r="K87" s="13"/>
      <c r="L87" s="13"/>
      <c r="M87" s="14"/>
      <c r="N87" s="29" t="str">
        <f aca="true">IF(OR(A87="",I87=""),"",IF(M87&lt;&gt;"",M87-I87,TODAY()-I87))</f>
        <v/>
      </c>
      <c r="O87" s="12"/>
      <c r="P87" s="13"/>
    </row>
    <row r="88" customFormat="false" ht="19.5" hidden="false" customHeight="true" outlineLevel="0" collapsed="false">
      <c r="A88" s="13"/>
      <c r="B88" s="13"/>
      <c r="C88" s="29" t="str">
        <f aca="false">IF(B88="","",IFERROR(INDEX('Test Cases'!$B$5:$B$204,MATCH(B88,'Test Cases'!$A$5:$A$204,0)),"Unknown test"))</f>
        <v/>
      </c>
      <c r="D88" s="29" t="str">
        <f aca="false">IF(B88="","",IFERROR(INDEX('Test Cases'!$D$5:$D$204,MATCH(B88,'Test Cases'!$A$5:$A$204,0)),"Unknown test"))</f>
        <v/>
      </c>
      <c r="E88" s="12"/>
      <c r="F88" s="12"/>
      <c r="G88" s="13"/>
      <c r="H88" s="13"/>
      <c r="I88" s="14"/>
      <c r="J88" s="12"/>
      <c r="K88" s="13"/>
      <c r="L88" s="13"/>
      <c r="M88" s="14"/>
      <c r="N88" s="29" t="str">
        <f aca="true">IF(OR(A88="",I88=""),"",IF(M88&lt;&gt;"",M88-I88,TODAY()-I88))</f>
        <v/>
      </c>
      <c r="O88" s="12"/>
      <c r="P88" s="13"/>
    </row>
    <row r="89" customFormat="false" ht="19.5" hidden="false" customHeight="true" outlineLevel="0" collapsed="false">
      <c r="A89" s="13"/>
      <c r="B89" s="13"/>
      <c r="C89" s="29" t="str">
        <f aca="false">IF(B89="","",IFERROR(INDEX('Test Cases'!$B$5:$B$204,MATCH(B89,'Test Cases'!$A$5:$A$204,0)),"Unknown test"))</f>
        <v/>
      </c>
      <c r="D89" s="29" t="str">
        <f aca="false">IF(B89="","",IFERROR(INDEX('Test Cases'!$D$5:$D$204,MATCH(B89,'Test Cases'!$A$5:$A$204,0)),"Unknown test"))</f>
        <v/>
      </c>
      <c r="E89" s="12"/>
      <c r="F89" s="12"/>
      <c r="G89" s="13"/>
      <c r="H89" s="13"/>
      <c r="I89" s="14"/>
      <c r="J89" s="12"/>
      <c r="K89" s="13"/>
      <c r="L89" s="13"/>
      <c r="M89" s="14"/>
      <c r="N89" s="29" t="str">
        <f aca="true">IF(OR(A89="",I89=""),"",IF(M89&lt;&gt;"",M89-I89,TODAY()-I89))</f>
        <v/>
      </c>
      <c r="O89" s="12"/>
      <c r="P89" s="13"/>
    </row>
    <row r="90" customFormat="false" ht="19.5" hidden="false" customHeight="true" outlineLevel="0" collapsed="false">
      <c r="A90" s="13"/>
      <c r="B90" s="13"/>
      <c r="C90" s="29" t="str">
        <f aca="false">IF(B90="","",IFERROR(INDEX('Test Cases'!$B$5:$B$204,MATCH(B90,'Test Cases'!$A$5:$A$204,0)),"Unknown test"))</f>
        <v/>
      </c>
      <c r="D90" s="29" t="str">
        <f aca="false">IF(B90="","",IFERROR(INDEX('Test Cases'!$D$5:$D$204,MATCH(B90,'Test Cases'!$A$5:$A$204,0)),"Unknown test"))</f>
        <v/>
      </c>
      <c r="E90" s="12"/>
      <c r="F90" s="12"/>
      <c r="G90" s="13"/>
      <c r="H90" s="13"/>
      <c r="I90" s="14"/>
      <c r="J90" s="12"/>
      <c r="K90" s="13"/>
      <c r="L90" s="13"/>
      <c r="M90" s="14"/>
      <c r="N90" s="29" t="str">
        <f aca="true">IF(OR(A90="",I90=""),"",IF(M90&lt;&gt;"",M90-I90,TODAY()-I90))</f>
        <v/>
      </c>
      <c r="O90" s="12"/>
      <c r="P90" s="13"/>
    </row>
    <row r="91" customFormat="false" ht="19.5" hidden="false" customHeight="true" outlineLevel="0" collapsed="false">
      <c r="A91" s="13"/>
      <c r="B91" s="13"/>
      <c r="C91" s="29" t="str">
        <f aca="false">IF(B91="","",IFERROR(INDEX('Test Cases'!$B$5:$B$204,MATCH(B91,'Test Cases'!$A$5:$A$204,0)),"Unknown test"))</f>
        <v/>
      </c>
      <c r="D91" s="29" t="str">
        <f aca="false">IF(B91="","",IFERROR(INDEX('Test Cases'!$D$5:$D$204,MATCH(B91,'Test Cases'!$A$5:$A$204,0)),"Unknown test"))</f>
        <v/>
      </c>
      <c r="E91" s="12"/>
      <c r="F91" s="12"/>
      <c r="G91" s="13"/>
      <c r="H91" s="13"/>
      <c r="I91" s="14"/>
      <c r="J91" s="12"/>
      <c r="K91" s="13"/>
      <c r="L91" s="13"/>
      <c r="M91" s="14"/>
      <c r="N91" s="29" t="str">
        <f aca="true">IF(OR(A91="",I91=""),"",IF(M91&lt;&gt;"",M91-I91,TODAY()-I91))</f>
        <v/>
      </c>
      <c r="O91" s="12"/>
      <c r="P91" s="13"/>
    </row>
    <row r="92" customFormat="false" ht="19.5" hidden="false" customHeight="true" outlineLevel="0" collapsed="false">
      <c r="A92" s="13"/>
      <c r="B92" s="13"/>
      <c r="C92" s="29" t="str">
        <f aca="false">IF(B92="","",IFERROR(INDEX('Test Cases'!$B$5:$B$204,MATCH(B92,'Test Cases'!$A$5:$A$204,0)),"Unknown test"))</f>
        <v/>
      </c>
      <c r="D92" s="29" t="str">
        <f aca="false">IF(B92="","",IFERROR(INDEX('Test Cases'!$D$5:$D$204,MATCH(B92,'Test Cases'!$A$5:$A$204,0)),"Unknown test"))</f>
        <v/>
      </c>
      <c r="E92" s="12"/>
      <c r="F92" s="12"/>
      <c r="G92" s="13"/>
      <c r="H92" s="13"/>
      <c r="I92" s="14"/>
      <c r="J92" s="12"/>
      <c r="K92" s="13"/>
      <c r="L92" s="13"/>
      <c r="M92" s="14"/>
      <c r="N92" s="29" t="str">
        <f aca="true">IF(OR(A92="",I92=""),"",IF(M92&lt;&gt;"",M92-I92,TODAY()-I92))</f>
        <v/>
      </c>
      <c r="O92" s="12"/>
      <c r="P92" s="13"/>
    </row>
    <row r="93" customFormat="false" ht="19.5" hidden="false" customHeight="true" outlineLevel="0" collapsed="false">
      <c r="A93" s="13"/>
      <c r="B93" s="13"/>
      <c r="C93" s="29" t="str">
        <f aca="false">IF(B93="","",IFERROR(INDEX('Test Cases'!$B$5:$B$204,MATCH(B93,'Test Cases'!$A$5:$A$204,0)),"Unknown test"))</f>
        <v/>
      </c>
      <c r="D93" s="29" t="str">
        <f aca="false">IF(B93="","",IFERROR(INDEX('Test Cases'!$D$5:$D$204,MATCH(B93,'Test Cases'!$A$5:$A$204,0)),"Unknown test"))</f>
        <v/>
      </c>
      <c r="E93" s="12"/>
      <c r="F93" s="12"/>
      <c r="G93" s="13"/>
      <c r="H93" s="13"/>
      <c r="I93" s="14"/>
      <c r="J93" s="12"/>
      <c r="K93" s="13"/>
      <c r="L93" s="13"/>
      <c r="M93" s="14"/>
      <c r="N93" s="29" t="str">
        <f aca="true">IF(OR(A93="",I93=""),"",IF(M93&lt;&gt;"",M93-I93,TODAY()-I93))</f>
        <v/>
      </c>
      <c r="O93" s="12"/>
      <c r="P93" s="13"/>
    </row>
    <row r="94" customFormat="false" ht="19.5" hidden="false" customHeight="true" outlineLevel="0" collapsed="false">
      <c r="A94" s="13"/>
      <c r="B94" s="13"/>
      <c r="C94" s="29" t="str">
        <f aca="false">IF(B94="","",IFERROR(INDEX('Test Cases'!$B$5:$B$204,MATCH(B94,'Test Cases'!$A$5:$A$204,0)),"Unknown test"))</f>
        <v/>
      </c>
      <c r="D94" s="29" t="str">
        <f aca="false">IF(B94="","",IFERROR(INDEX('Test Cases'!$D$5:$D$204,MATCH(B94,'Test Cases'!$A$5:$A$204,0)),"Unknown test"))</f>
        <v/>
      </c>
      <c r="E94" s="12"/>
      <c r="F94" s="12"/>
      <c r="G94" s="13"/>
      <c r="H94" s="13"/>
      <c r="I94" s="14"/>
      <c r="J94" s="12"/>
      <c r="K94" s="13"/>
      <c r="L94" s="13"/>
      <c r="M94" s="14"/>
      <c r="N94" s="29" t="str">
        <f aca="true">IF(OR(A94="",I94=""),"",IF(M94&lt;&gt;"",M94-I94,TODAY()-I94))</f>
        <v/>
      </c>
      <c r="O94" s="12"/>
      <c r="P94" s="13"/>
    </row>
    <row r="95" customFormat="false" ht="19.5" hidden="false" customHeight="true" outlineLevel="0" collapsed="false">
      <c r="A95" s="13"/>
      <c r="B95" s="13"/>
      <c r="C95" s="29" t="str">
        <f aca="false">IF(B95="","",IFERROR(INDEX('Test Cases'!$B$5:$B$204,MATCH(B95,'Test Cases'!$A$5:$A$204,0)),"Unknown test"))</f>
        <v/>
      </c>
      <c r="D95" s="29" t="str">
        <f aca="false">IF(B95="","",IFERROR(INDEX('Test Cases'!$D$5:$D$204,MATCH(B95,'Test Cases'!$A$5:$A$204,0)),"Unknown test"))</f>
        <v/>
      </c>
      <c r="E95" s="12"/>
      <c r="F95" s="12"/>
      <c r="G95" s="13"/>
      <c r="H95" s="13"/>
      <c r="I95" s="14"/>
      <c r="J95" s="12"/>
      <c r="K95" s="13"/>
      <c r="L95" s="13"/>
      <c r="M95" s="14"/>
      <c r="N95" s="29" t="str">
        <f aca="true">IF(OR(A95="",I95=""),"",IF(M95&lt;&gt;"",M95-I95,TODAY()-I95))</f>
        <v/>
      </c>
      <c r="O95" s="12"/>
      <c r="P95" s="13"/>
    </row>
    <row r="96" customFormat="false" ht="19.5" hidden="false" customHeight="true" outlineLevel="0" collapsed="false">
      <c r="A96" s="13"/>
      <c r="B96" s="13"/>
      <c r="C96" s="29" t="str">
        <f aca="false">IF(B96="","",IFERROR(INDEX('Test Cases'!$B$5:$B$204,MATCH(B96,'Test Cases'!$A$5:$A$204,0)),"Unknown test"))</f>
        <v/>
      </c>
      <c r="D96" s="29" t="str">
        <f aca="false">IF(B96="","",IFERROR(INDEX('Test Cases'!$D$5:$D$204,MATCH(B96,'Test Cases'!$A$5:$A$204,0)),"Unknown test"))</f>
        <v/>
      </c>
      <c r="E96" s="12"/>
      <c r="F96" s="12"/>
      <c r="G96" s="13"/>
      <c r="H96" s="13"/>
      <c r="I96" s="14"/>
      <c r="J96" s="12"/>
      <c r="K96" s="13"/>
      <c r="L96" s="13"/>
      <c r="M96" s="14"/>
      <c r="N96" s="29" t="str">
        <f aca="true">IF(OR(A96="",I96=""),"",IF(M96&lt;&gt;"",M96-I96,TODAY()-I96))</f>
        <v/>
      </c>
      <c r="O96" s="12"/>
      <c r="P96" s="13"/>
    </row>
    <row r="97" customFormat="false" ht="19.5" hidden="false" customHeight="true" outlineLevel="0" collapsed="false">
      <c r="A97" s="13"/>
      <c r="B97" s="13"/>
      <c r="C97" s="29" t="str">
        <f aca="false">IF(B97="","",IFERROR(INDEX('Test Cases'!$B$5:$B$204,MATCH(B97,'Test Cases'!$A$5:$A$204,0)),"Unknown test"))</f>
        <v/>
      </c>
      <c r="D97" s="29" t="str">
        <f aca="false">IF(B97="","",IFERROR(INDEX('Test Cases'!$D$5:$D$204,MATCH(B97,'Test Cases'!$A$5:$A$204,0)),"Unknown test"))</f>
        <v/>
      </c>
      <c r="E97" s="12"/>
      <c r="F97" s="12"/>
      <c r="G97" s="13"/>
      <c r="H97" s="13"/>
      <c r="I97" s="14"/>
      <c r="J97" s="12"/>
      <c r="K97" s="13"/>
      <c r="L97" s="13"/>
      <c r="M97" s="14"/>
      <c r="N97" s="29" t="str">
        <f aca="true">IF(OR(A97="",I97=""),"",IF(M97&lt;&gt;"",M97-I97,TODAY()-I97))</f>
        <v/>
      </c>
      <c r="O97" s="12"/>
      <c r="P97" s="13"/>
    </row>
    <row r="98" customFormat="false" ht="19.5" hidden="false" customHeight="true" outlineLevel="0" collapsed="false">
      <c r="A98" s="13"/>
      <c r="B98" s="13"/>
      <c r="C98" s="29" t="str">
        <f aca="false">IF(B98="","",IFERROR(INDEX('Test Cases'!$B$5:$B$204,MATCH(B98,'Test Cases'!$A$5:$A$204,0)),"Unknown test"))</f>
        <v/>
      </c>
      <c r="D98" s="29" t="str">
        <f aca="false">IF(B98="","",IFERROR(INDEX('Test Cases'!$D$5:$D$204,MATCH(B98,'Test Cases'!$A$5:$A$204,0)),"Unknown test"))</f>
        <v/>
      </c>
      <c r="E98" s="12"/>
      <c r="F98" s="12"/>
      <c r="G98" s="13"/>
      <c r="H98" s="13"/>
      <c r="I98" s="14"/>
      <c r="J98" s="12"/>
      <c r="K98" s="13"/>
      <c r="L98" s="13"/>
      <c r="M98" s="14"/>
      <c r="N98" s="29" t="str">
        <f aca="true">IF(OR(A98="",I98=""),"",IF(M98&lt;&gt;"",M98-I98,TODAY()-I98))</f>
        <v/>
      </c>
      <c r="O98" s="12"/>
      <c r="P98" s="13"/>
    </row>
    <row r="99" customFormat="false" ht="19.5" hidden="false" customHeight="true" outlineLevel="0" collapsed="false">
      <c r="A99" s="13"/>
      <c r="B99" s="13"/>
      <c r="C99" s="29" t="str">
        <f aca="false">IF(B99="","",IFERROR(INDEX('Test Cases'!$B$5:$B$204,MATCH(B99,'Test Cases'!$A$5:$A$204,0)),"Unknown test"))</f>
        <v/>
      </c>
      <c r="D99" s="29" t="str">
        <f aca="false">IF(B99="","",IFERROR(INDEX('Test Cases'!$D$5:$D$204,MATCH(B99,'Test Cases'!$A$5:$A$204,0)),"Unknown test"))</f>
        <v/>
      </c>
      <c r="E99" s="12"/>
      <c r="F99" s="12"/>
      <c r="G99" s="13"/>
      <c r="H99" s="13"/>
      <c r="I99" s="14"/>
      <c r="J99" s="12"/>
      <c r="K99" s="13"/>
      <c r="L99" s="13"/>
      <c r="M99" s="14"/>
      <c r="N99" s="29" t="str">
        <f aca="true">IF(OR(A99="",I99=""),"",IF(M99&lt;&gt;"",M99-I99,TODAY()-I99))</f>
        <v/>
      </c>
      <c r="O99" s="12"/>
      <c r="P99" s="13"/>
    </row>
    <row r="100" customFormat="false" ht="19.5" hidden="false" customHeight="true" outlineLevel="0" collapsed="false">
      <c r="A100" s="13"/>
      <c r="B100" s="13"/>
      <c r="C100" s="29" t="str">
        <f aca="false">IF(B100="","",IFERROR(INDEX('Test Cases'!$B$5:$B$204,MATCH(B100,'Test Cases'!$A$5:$A$204,0)),"Unknown test"))</f>
        <v/>
      </c>
      <c r="D100" s="29" t="str">
        <f aca="false">IF(B100="","",IFERROR(INDEX('Test Cases'!$D$5:$D$204,MATCH(B100,'Test Cases'!$A$5:$A$204,0)),"Unknown test"))</f>
        <v/>
      </c>
      <c r="E100" s="12"/>
      <c r="F100" s="12"/>
      <c r="G100" s="13"/>
      <c r="H100" s="13"/>
      <c r="I100" s="14"/>
      <c r="J100" s="12"/>
      <c r="K100" s="13"/>
      <c r="L100" s="13"/>
      <c r="M100" s="14"/>
      <c r="N100" s="29" t="str">
        <f aca="true">IF(OR(A100="",I100=""),"",IF(M100&lt;&gt;"",M100-I100,TODAY()-I100))</f>
        <v/>
      </c>
      <c r="O100" s="12"/>
      <c r="P100" s="13"/>
    </row>
    <row r="101" customFormat="false" ht="19.5" hidden="false" customHeight="true" outlineLevel="0" collapsed="false">
      <c r="A101" s="13"/>
      <c r="B101" s="13"/>
      <c r="C101" s="29" t="str">
        <f aca="false">IF(B101="","",IFERROR(INDEX('Test Cases'!$B$5:$B$204,MATCH(B101,'Test Cases'!$A$5:$A$204,0)),"Unknown test"))</f>
        <v/>
      </c>
      <c r="D101" s="29" t="str">
        <f aca="false">IF(B101="","",IFERROR(INDEX('Test Cases'!$D$5:$D$204,MATCH(B101,'Test Cases'!$A$5:$A$204,0)),"Unknown test"))</f>
        <v/>
      </c>
      <c r="E101" s="12"/>
      <c r="F101" s="12"/>
      <c r="G101" s="13"/>
      <c r="H101" s="13"/>
      <c r="I101" s="14"/>
      <c r="J101" s="12"/>
      <c r="K101" s="13"/>
      <c r="L101" s="13"/>
      <c r="M101" s="14"/>
      <c r="N101" s="29" t="str">
        <f aca="true">IF(OR(A101="",I101=""),"",IF(M101&lt;&gt;"",M101-I101,TODAY()-I101))</f>
        <v/>
      </c>
      <c r="O101" s="12"/>
      <c r="P101" s="13"/>
    </row>
    <row r="102" customFormat="false" ht="19.5" hidden="false" customHeight="true" outlineLevel="0" collapsed="false">
      <c r="A102" s="13"/>
      <c r="B102" s="13"/>
      <c r="C102" s="29" t="str">
        <f aca="false">IF(B102="","",IFERROR(INDEX('Test Cases'!$B$5:$B$204,MATCH(B102,'Test Cases'!$A$5:$A$204,0)),"Unknown test"))</f>
        <v/>
      </c>
      <c r="D102" s="29" t="str">
        <f aca="false">IF(B102="","",IFERROR(INDEX('Test Cases'!$D$5:$D$204,MATCH(B102,'Test Cases'!$A$5:$A$204,0)),"Unknown test"))</f>
        <v/>
      </c>
      <c r="E102" s="12"/>
      <c r="F102" s="12"/>
      <c r="G102" s="13"/>
      <c r="H102" s="13"/>
      <c r="I102" s="14"/>
      <c r="J102" s="12"/>
      <c r="K102" s="13"/>
      <c r="L102" s="13"/>
      <c r="M102" s="14"/>
      <c r="N102" s="29" t="str">
        <f aca="true">IF(OR(A102="",I102=""),"",IF(M102&lt;&gt;"",M102-I102,TODAY()-I102))</f>
        <v/>
      </c>
      <c r="O102" s="12"/>
      <c r="P102" s="13"/>
    </row>
    <row r="103" customFormat="false" ht="19.5" hidden="false" customHeight="true" outlineLevel="0" collapsed="false">
      <c r="A103" s="13"/>
      <c r="B103" s="13"/>
      <c r="C103" s="29" t="str">
        <f aca="false">IF(B103="","",IFERROR(INDEX('Test Cases'!$B$5:$B$204,MATCH(B103,'Test Cases'!$A$5:$A$204,0)),"Unknown test"))</f>
        <v/>
      </c>
      <c r="D103" s="29" t="str">
        <f aca="false">IF(B103="","",IFERROR(INDEX('Test Cases'!$D$5:$D$204,MATCH(B103,'Test Cases'!$A$5:$A$204,0)),"Unknown test"))</f>
        <v/>
      </c>
      <c r="E103" s="12"/>
      <c r="F103" s="12"/>
      <c r="G103" s="13"/>
      <c r="H103" s="13"/>
      <c r="I103" s="14"/>
      <c r="J103" s="12"/>
      <c r="K103" s="13"/>
      <c r="L103" s="13"/>
      <c r="M103" s="14"/>
      <c r="N103" s="29" t="str">
        <f aca="true">IF(OR(A103="",I103=""),"",IF(M103&lt;&gt;"",M103-I103,TODAY()-I103))</f>
        <v/>
      </c>
      <c r="O103" s="12"/>
      <c r="P103" s="13"/>
    </row>
    <row r="104" customFormat="false" ht="19.5" hidden="false" customHeight="true" outlineLevel="0" collapsed="false">
      <c r="A104" s="13"/>
      <c r="B104" s="13"/>
      <c r="C104" s="29" t="str">
        <f aca="false">IF(B104="","",IFERROR(INDEX('Test Cases'!$B$5:$B$204,MATCH(B104,'Test Cases'!$A$5:$A$204,0)),"Unknown test"))</f>
        <v/>
      </c>
      <c r="D104" s="29" t="str">
        <f aca="false">IF(B104="","",IFERROR(INDEX('Test Cases'!$D$5:$D$204,MATCH(B104,'Test Cases'!$A$5:$A$204,0)),"Unknown test"))</f>
        <v/>
      </c>
      <c r="E104" s="12"/>
      <c r="F104" s="12"/>
      <c r="G104" s="13"/>
      <c r="H104" s="13"/>
      <c r="I104" s="14"/>
      <c r="J104" s="12"/>
      <c r="K104" s="13"/>
      <c r="L104" s="13"/>
      <c r="M104" s="14"/>
      <c r="N104" s="29" t="str">
        <f aca="true">IF(OR(A104="",I104=""),"",IF(M104&lt;&gt;"",M104-I104,TODAY()-I104))</f>
        <v/>
      </c>
      <c r="O104" s="12"/>
      <c r="P104" s="13"/>
    </row>
  </sheetData>
  <autoFilter ref="A4:P104"/>
  <conditionalFormatting sqref="G5:G104">
    <cfRule type="cellIs" priority="2" operator="equal" aboveAverage="0" equalAverage="0" bottom="0" percent="0" rank="0" text="" dxfId="4">
      <formula>"Critical"</formula>
    </cfRule>
    <cfRule type="cellIs" priority="3" operator="equal" aboveAverage="0" equalAverage="0" bottom="0" percent="0" rank="0" text="" dxfId="4">
      <formula>"High"</formula>
    </cfRule>
    <cfRule type="cellIs" priority="4" operator="equal" aboveAverage="0" equalAverage="0" bottom="0" percent="0" rank="0" text="" dxfId="3">
      <formula>"Medium"</formula>
    </cfRule>
    <cfRule type="cellIs" priority="5" operator="equal" aboveAverage="0" equalAverage="0" bottom="0" percent="0" rank="0" text="" dxfId="0">
      <formula>"Low"</formula>
    </cfRule>
  </conditionalFormatting>
  <conditionalFormatting sqref="H5:H104">
    <cfRule type="cellIs" priority="6" operator="equal" aboveAverage="0" equalAverage="0" bottom="0" percent="0" rank="0" text="" dxfId="4">
      <formula>"Open"</formula>
    </cfRule>
    <cfRule type="cellIs" priority="7" operator="equal" aboveAverage="0" equalAverage="0" bottom="0" percent="0" rank="0" text="" dxfId="3">
      <formula>"In Progress"</formula>
    </cfRule>
    <cfRule type="cellIs" priority="8" operator="equal" aboveAverage="0" equalAverage="0" bottom="0" percent="0" rank="0" text="" dxfId="1">
      <formula>"Fixed - Retest"</formula>
    </cfRule>
    <cfRule type="cellIs" priority="9" operator="equal" aboveAverage="0" equalAverage="0" bottom="0" percent="0" rank="0" text="" dxfId="0">
      <formula>"Closed"</formula>
    </cfRule>
    <cfRule type="cellIs" priority="10" operator="equal" aboveAverage="0" equalAverage="0" bottom="0" percent="0" rank="0" text="" dxfId="2">
      <formula>"Deferred"</formula>
    </cfRule>
  </conditionalFormatting>
  <dataValidations count="3">
    <dataValidation allowBlank="true" errorStyle="stop" operator="between" showDropDown="false" showErrorMessage="false" showInputMessage="false" sqref="G5:G104" type="list">
      <formula1>"Critical,High,Medium,Low"</formula1>
      <formula2>0</formula2>
    </dataValidation>
    <dataValidation allowBlank="true" errorStyle="stop" operator="between" showDropDown="false" showErrorMessage="false" showInputMessage="false" sqref="H5:H104" type="list">
      <formula1>"Open,In Progress,Fixed - Retest,Closed,Deferred"</formula1>
      <formula2>0</formula2>
    </dataValidation>
    <dataValidation allowBlank="true" errorStyle="stop" operator="between" showDropDown="false" showErrorMessage="false" showInputMessage="false" sqref="L5:L104" type="list">
      <formula1>"Sprint 1,Sprint 2,Sprint 3,Sprint 4,Sprint 5,Sprint 6,Sprint 7,Sprint 8,Sprint 9,Sprint 10"</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2026-09-10T16:35:40Z</dcterms:created>
  <dc:creator>openpyxl</dc:creator>
  <dc:description/>
  <dc:language>en-US</dc:language>
  <cp:lastModifiedBy/>
  <dcterms:modified xsi:type="dcterms:W3CDTF">2026-09-10T16:35:43Z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