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6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ver" sheetId="1" state="visible" r:id="rId3"/>
    <sheet name="Overview" sheetId="2" state="visible" r:id="rId4"/>
    <sheet name="Roadmap" sheetId="3" state="visible" r:id="rId5"/>
    <sheet name="Now-Next-Later" sheetId="4" state="visible" r:id="rId6"/>
    <sheet name="Themes &amp; Outcomes" sheetId="5" state="visible" r:id="rId7"/>
    <sheet name="Initiatives" sheetId="6" state="visible" r:id="rId8"/>
    <sheet name="Milestones" sheetId="7" state="visible" r:id="rId9"/>
  </sheets>
  <definedNames>
    <definedName function="false" hidden="false" localSheetId="5" name="_xlnm.Print_Area" vbProcedure="false">Initiatives!$A$1:$R$34</definedName>
    <definedName function="false" hidden="true" localSheetId="5" name="_xlnm._FilterDatabase" vbProcedure="false">Initiatives!$A$4:$R$34</definedName>
    <definedName function="false" hidden="false" localSheetId="2" name="_xlnm.Print_Titles" vbProcedure="false">Roadmap!$5:$7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<sst xmlns="http://schemas.openxmlformats.org/spreadsheetml/2006/main" count="686" uniqueCount="397">
  <si>
    <t xml:space="preserve">Product Roadmap</t>
  </si>
  <si>
    <t xml:space="preserve">Merchant Payment Operations &amp; Dispute Hub</t>
  </si>
  <si>
    <t xml:space="preserve">Document</t>
  </si>
  <si>
    <t xml:space="preserve">Outcome-based product roadmap, July 2026 to December 2028</t>
  </si>
  <si>
    <t xml:space="preserve">Version</t>
  </si>
  <si>
    <t xml:space="preserve">1.1</t>
  </si>
  <si>
    <t xml:space="preserve">Reporting date</t>
  </si>
  <si>
    <t xml:space="preserve">Prepared by</t>
  </si>
  <si>
    <t xml:space="preserve">Bhawna, Product Owner</t>
  </si>
  <si>
    <t xml:space="preserve">Review cadence</t>
  </si>
  <si>
    <t xml:space="preserve">Quarterly roadmap review with the Business Sponsor; refreshed at every go / no-go gate</t>
  </si>
  <si>
    <t xml:space="preserve">Companion documents</t>
  </si>
  <si>
    <t xml:space="preserve">PRD, Product Backlog, Change Log, RAID Log, KPI Definitions, Business Case &amp; GTM and Post-Launch Plan</t>
  </si>
  <si>
    <t xml:space="preserve">Project type</t>
  </si>
  <si>
    <t xml:space="preserve">Simulation / portfolio project prepared to demonstrate Product Owner practice. Not an actual client system; dates and initiatives are illustrative.</t>
  </si>
  <si>
    <t xml:space="preserve">Purpose</t>
  </si>
  <si>
    <t xml:space="preserve">Shows where the Dispute Hub is going and why: the outcomes each theme should achieve, the initiatives planned to get there, how confident we are, and the gates that decide what happens next. Near-term work is committed and dated; later work is directional and will change as pilot and rollout results come in.</t>
  </si>
  <si>
    <t xml:space="preserve">How to read the roadmap</t>
  </si>
  <si>
    <t xml:space="preserve">Horizon</t>
  </si>
  <si>
    <t xml:space="preserve">Meaning</t>
  </si>
  <si>
    <t xml:space="preserve">Now</t>
  </si>
  <si>
    <t xml:space="preserve">In progress, or starting within about four months of the reporting date. Scope and dates are committed.</t>
  </si>
  <si>
    <t xml:space="preserve">Next</t>
  </si>
  <si>
    <t xml:space="preserve">Starting within the next 12 months. Scope is planned; dates can move with gate results.</t>
  </si>
  <si>
    <t xml:space="preserve">Later</t>
  </si>
  <si>
    <t xml:space="preserve">More than 12 months away. Direction only: problems worth solving, not promises.</t>
  </si>
  <si>
    <t xml:space="preserve">Status and colors</t>
  </si>
  <si>
    <t xml:space="preserve">Status</t>
  </si>
  <si>
    <t xml:space="preserve">Done</t>
  </si>
  <si>
    <t xml:space="preserve">Delivered and accepted.</t>
  </si>
  <si>
    <t xml:space="preserve">In progress</t>
  </si>
  <si>
    <t xml:space="preserve">Being worked on now.</t>
  </si>
  <si>
    <t xml:space="preserve">Committed</t>
  </si>
  <si>
    <t xml:space="preserve">Funded, scoped and scheduled.</t>
  </si>
  <si>
    <t xml:space="preserve">Planned</t>
  </si>
  <si>
    <t xml:space="preserve">Intended and sized, but not yet started or fully funded.</t>
  </si>
  <si>
    <t xml:space="preserve">Exploring</t>
  </si>
  <si>
    <t xml:space="preserve">In discovery; scope and value still being validated.</t>
  </si>
  <si>
    <t xml:space="preserve">Idea</t>
  </si>
  <si>
    <t xml:space="preserve">Worth investigating; no commitment.</t>
  </si>
  <si>
    <t xml:space="preserve">Pending decision</t>
  </si>
  <si>
    <t xml:space="preserve">Waiting on a change request or steering committee decision.</t>
  </si>
  <si>
    <t xml:space="preserve">Roadmap principles</t>
  </si>
  <si>
    <t xml:space="preserve">1. Every initiative serves a theme outcome and names the KPI it should move.</t>
  </si>
  <si>
    <t xml:space="preserve">2. Dates get less precise the further out they are. Confidence is shown for every item.</t>
  </si>
  <si>
    <t xml:space="preserve">3. Changes to Now or committed items go through change control (Change Log). Next and Later items change at the quarterly review.</t>
  </si>
  <si>
    <t xml:space="preserve">4. Rollout waves and Phase 2 investments start only when their gate criteria are met.</t>
  </si>
  <si>
    <t xml:space="preserve">5. New ideas enter as Idea or Exploring and need evidence before becoming Planned.</t>
  </si>
  <si>
    <t xml:space="preserve">How to maintain</t>
  </si>
  <si>
    <t xml:space="preserve">Edit initiatives, dates and status on the Initiatives tab. The timeline, Now / Next / Later board and Overview update automatically.</t>
  </si>
  <si>
    <t xml:space="preserve">To add an initiative, add a row on the Initiatives tab, then add its ID in a row under the right theme on the Roadmap tab.</t>
  </si>
  <si>
    <t xml:space="preserve">Update the reporting date above before each review; horizons are calculated from it.</t>
  </si>
  <si>
    <t xml:space="preserve">Version history</t>
  </si>
  <si>
    <t xml:space="preserve">Date</t>
  </si>
  <si>
    <t xml:space="preserve">Author</t>
  </si>
  <si>
    <t xml:space="preserve">Change summary</t>
  </si>
  <si>
    <t xml:space="preserve">1.0</t>
  </si>
  <si>
    <t xml:space="preserve">Bhawna</t>
  </si>
  <si>
    <t xml:space="preserve">First roadmap: six themes, 24 initiatives and 13 milestones from build through 2028.</t>
  </si>
  <si>
    <t xml:space="preserve">Added six beyond-MVP initiatives (RM-25 to RM-30) and the AI copilot model risk review milestone, from the Discovery &amp; Decision Log. Horizons match wireframes S09 to S13.</t>
  </si>
  <si>
    <t xml:space="preserve">Roadmap Overview</t>
  </si>
  <si>
    <t xml:space="preserve">Merchant Payment Operations &amp; Dispute Hub · Simulation project</t>
  </si>
  <si>
    <t xml:space="preserve">Summary</t>
  </si>
  <si>
    <t xml:space="preserve">Initiatives</t>
  </si>
  <si>
    <t xml:space="preserve">In progress or committed</t>
  </si>
  <si>
    <t xml:space="preserve">Low confidence</t>
  </si>
  <si>
    <t xml:space="preserve">Ideas</t>
  </si>
  <si>
    <t xml:space="preserve">Initiatives by theme and horizon</t>
  </si>
  <si>
    <t xml:space="preserve">Theme</t>
  </si>
  <si>
    <t xml:space="preserve">Total</t>
  </si>
  <si>
    <t xml:space="preserve">Owner</t>
  </si>
  <si>
    <t xml:space="preserve">Next milestones</t>
  </si>
  <si>
    <t xml:space="preserve">Milestone</t>
  </si>
  <si>
    <t xml:space="preserve">Type</t>
  </si>
  <si>
    <t xml:space="preserve">Days away</t>
  </si>
  <si>
    <t xml:space="preserve">What could change the roadmap</t>
  </si>
  <si>
    <t xml:space="preserve">Change</t>
  </si>
  <si>
    <t xml:space="preserve">Impact on the roadmap</t>
  </si>
  <si>
    <t xml:space="preserve">Penetration test slips further (D-03)</t>
  </si>
  <si>
    <t xml:space="preserve">Moves go-live and everything after it. CR-06 proposes running UAT in parallel.</t>
  </si>
  <si>
    <t xml:space="preserve">Tracking plan stays blocked (I-06)</t>
  </si>
  <si>
    <t xml:space="preserve">Pilot activation can't be measured, so the Wave 1 gate can't be judged on evidence.</t>
  </si>
  <si>
    <t xml:space="preserve">Pilot adoption misses the 60% gate (R-04)</t>
  </si>
  <si>
    <t xml:space="preserve">Wave 1 waits; adoption work moves forward and Next items, including the AI copilot pilot, shift right.</t>
  </si>
  <si>
    <t xml:space="preserve">Phase 2 funding isn't approved (MS-09)</t>
  </si>
  <si>
    <t xml:space="preserve">Fraud case management and the Spanish portal move to Later.</t>
  </si>
  <si>
    <t xml:space="preserve">Outcome definitions not agreed (CR-05)</t>
  </si>
  <si>
    <t xml:space="preserve">Reporting stories slip and value recovery (KPI-01) can't be tracked.</t>
  </si>
  <si>
    <t xml:space="preserve">Roadmap Timeline</t>
  </si>
  <si>
    <t xml:space="preserve">Merchant Payment Operations &amp; Dispute Hub · Simulation project · July 2026 to December 2028 · Bars and milestones update from the Initiatives and Milestones tabs</t>
  </si>
  <si>
    <t xml:space="preserve">Legend (bar color = status):</t>
  </si>
  <si>
    <t xml:space="preserve">◆ Milestone</t>
  </si>
  <si>
    <t xml:space="preserve">Reporting month</t>
  </si>
  <si>
    <t xml:space="preserve">2026</t>
  </si>
  <si>
    <t xml:space="preserve">2027</t>
  </si>
  <si>
    <t xml:space="preserve">2028</t>
  </si>
  <si>
    <t xml:space="preserve">Q3</t>
  </si>
  <si>
    <t xml:space="preserve">Q4</t>
  </si>
  <si>
    <t xml:space="preserve">Q1</t>
  </si>
  <si>
    <t xml:space="preserve">Q2</t>
  </si>
  <si>
    <t xml:space="preserve">ID</t>
  </si>
  <si>
    <t xml:space="preserve">Initiative</t>
  </si>
  <si>
    <t xml:space="preserve">Start</t>
  </si>
  <si>
    <t xml:space="preserve">End</t>
  </si>
  <si>
    <t xml:space="preserve">T1</t>
  </si>
  <si>
    <t xml:space="preserve">Launch the MVP</t>
  </si>
  <si>
    <t xml:space="preserve">RM-01</t>
  </si>
  <si>
    <t xml:space="preserve">RM-02</t>
  </si>
  <si>
    <t xml:space="preserve">RM-03</t>
  </si>
  <si>
    <t xml:space="preserve">T2</t>
  </si>
  <si>
    <t xml:space="preserve">Merchant adoption and rollout</t>
  </si>
  <si>
    <t xml:space="preserve">RM-07</t>
  </si>
  <si>
    <t xml:space="preserve">RM-08</t>
  </si>
  <si>
    <t xml:space="preserve">RM-10</t>
  </si>
  <si>
    <t xml:space="preserve">RM-15</t>
  </si>
  <si>
    <t xml:space="preserve">RM-16</t>
  </si>
  <si>
    <t xml:space="preserve">RM-18</t>
  </si>
  <si>
    <t xml:space="preserve">T3</t>
  </si>
  <si>
    <t xml:space="preserve">Help merchants win more disputes</t>
  </si>
  <si>
    <t xml:space="preserve">RM-11</t>
  </si>
  <si>
    <t xml:space="preserve">RM-12</t>
  </si>
  <si>
    <t xml:space="preserve">RM-14</t>
  </si>
  <si>
    <t xml:space="preserve">RM-22</t>
  </si>
  <si>
    <t xml:space="preserve">RM-25</t>
  </si>
  <si>
    <t xml:space="preserve">RM-26</t>
  </si>
  <si>
    <t xml:space="preserve">RM-27</t>
  </si>
  <si>
    <t xml:space="preserve">RM-29</t>
  </si>
  <si>
    <t xml:space="preserve">T4</t>
  </si>
  <si>
    <t xml:space="preserve">Ops efficiency</t>
  </si>
  <si>
    <t xml:space="preserve">RM-06</t>
  </si>
  <si>
    <t xml:space="preserve">RM-13</t>
  </si>
  <si>
    <t xml:space="preserve">RM-17</t>
  </si>
  <si>
    <t xml:space="preserve">RM-19</t>
  </si>
  <si>
    <t xml:space="preserve">RM-20</t>
  </si>
  <si>
    <t xml:space="preserve">T5</t>
  </si>
  <si>
    <t xml:space="preserve">Trust, compliance and data</t>
  </si>
  <si>
    <t xml:space="preserve">RM-04</t>
  </si>
  <si>
    <t xml:space="preserve">RM-05</t>
  </si>
  <si>
    <t xml:space="preserve">RM-09</t>
  </si>
  <si>
    <t xml:space="preserve">RM-28</t>
  </si>
  <si>
    <t xml:space="preserve">T6</t>
  </si>
  <si>
    <t xml:space="preserve">Expansion</t>
  </si>
  <si>
    <t xml:space="preserve">RM-21</t>
  </si>
  <si>
    <t xml:space="preserve">RM-23</t>
  </si>
  <si>
    <t xml:space="preserve">RM-24</t>
  </si>
  <si>
    <t xml:space="preserve">RM-30</t>
  </si>
  <si>
    <t xml:space="preserve">Key milestones and gates</t>
  </si>
  <si>
    <t xml:space="preserve">To add an initiative: add it on the Initiatives tab, then type its ID in column A of a new row under the right theme here and copy the row formatting.</t>
  </si>
  <si>
    <t xml:space="preserve">Now, Next, Later</t>
  </si>
  <si>
    <t xml:space="preserve">Outcome view of the roadmap for stakeholder conversations · Ordered by start date</t>
  </si>
  <si>
    <t xml:space="preserve">Committed scope. In progress or starting within about four months.</t>
  </si>
  <si>
    <t xml:space="preserve">Planned. Starting within 12 months; dates move with gate results.</t>
  </si>
  <si>
    <t xml:space="preserve">Direction only. Problems worth solving later.</t>
  </si>
  <si>
    <t xml:space="preserve">Themes &amp; Outcomes</t>
  </si>
  <si>
    <t xml:space="preserve">Merchant Payment Operations &amp; Dispute Hub · Simulation project · What each theme should achieve and how it's measured</t>
  </si>
  <si>
    <t xml:space="preserve">Theme ID</t>
  </si>
  <si>
    <t xml:space="preserve">Outcome</t>
  </si>
  <si>
    <t xml:space="preserve">How success is measured</t>
  </si>
  <si>
    <t xml:space="preserve">Merchants and ops have a secure, stable Dispute Hub live by 11 December 2026.</t>
  </si>
  <si>
    <t xml:space="preserve">Go-live on time; hypercare exit criteria met (EX-01 to EX-12)</t>
  </si>
  <si>
    <t xml:space="preserve">Product Owner</t>
  </si>
  <si>
    <t xml:space="preserve">The portal becomes the default way merchants handle disputes.</t>
  </si>
  <si>
    <t xml:space="preserve">KPI-06 portal evidence share 0% to 70%; KPI-08 pilot activation ≥ 60%</t>
  </si>
  <si>
    <t xml:space="preserve">Merchant Relationship Lead</t>
  </si>
  <si>
    <t xml:space="preserve">Merchants respond on time with evidence that wins.</t>
  </si>
  <si>
    <t xml:space="preserve">KPI-03 on-time response 78% to 95%; KPI-04 missed-deadline loss 9% to 3%; KPI-01 value recovery 38% to 45%</t>
  </si>
  <si>
    <t xml:space="preserve">Dispute ops spends time on judgment, not re-keying and chasing.</t>
  </si>
  <si>
    <t xml:space="preserve">KPI-05 handling time 42 to 25 minutes</t>
  </si>
  <si>
    <t xml:space="preserve">Dispute Ops Lead</t>
  </si>
  <si>
    <t xml:space="preserve">Card data stays protected and everyone uses one trusted set of numbers.</t>
  </si>
  <si>
    <t xml:space="preserve">KPI-16 zero card data incidents; KPI-15 reconciliation variance ≤ 0.5%; agreed outcome definitions</t>
  </si>
  <si>
    <t xml:space="preserve">Compliance Lead</t>
  </si>
  <si>
    <t xml:space="preserve">Reach merchant types and revenue the MVP doesn't serve yet.</t>
  </si>
  <si>
    <t xml:space="preserve">Validated demand and business case before commitment</t>
  </si>
  <si>
    <t xml:space="preserve">Business Sponsor</t>
  </si>
  <si>
    <t xml:space="preserve">Merchant Payment Operations &amp; Dispute Hub · Simulation project · Source data for the timeline and board</t>
  </si>
  <si>
    <t xml:space="preserve">Grey columns calculate automatically. Horizon is based on the reporting date on the Cover.</t>
  </si>
  <si>
    <t xml:space="preserve">Problem or outcome</t>
  </si>
  <si>
    <t xml:space="preserve">KPIs</t>
  </si>
  <si>
    <t xml:space="preserve">Weeks</t>
  </si>
  <si>
    <t xml:space="preserve">Timeframe</t>
  </si>
  <si>
    <t xml:space="preserve">Confidence</t>
  </si>
  <si>
    <t xml:space="preserve">Effort</t>
  </si>
  <si>
    <t xml:space="preserve">Gate or dependency</t>
  </si>
  <si>
    <t xml:space="preserve">Linked items</t>
  </si>
  <si>
    <t xml:space="preserve">Source</t>
  </si>
  <si>
    <t xml:space="preserve">h_now</t>
  </si>
  <si>
    <t xml:space="preserve">h_next</t>
  </si>
  <si>
    <t xml:space="preserve">h_later</t>
  </si>
  <si>
    <t xml:space="preserve">MVP build (Sprints 1–8)</t>
  </si>
  <si>
    <t xml:space="preserve">Build the nine MVP epics: inbox, evidence submission, processor integration, reminders, settlements, reporting and ops queue.</t>
  </si>
  <si>
    <t xml:space="preserve">Scope delivered (252 points)</t>
  </si>
  <si>
    <t xml:space="preserve">High</t>
  </si>
  <si>
    <t xml:space="preserve">XL</t>
  </si>
  <si>
    <t xml:space="preserve">Tech Lead</t>
  </si>
  <si>
    <t xml:space="preserve">Sprint reviews; D-01, D-02, D-04</t>
  </si>
  <si>
    <t xml:space="preserve">EP-01 to EP-09</t>
  </si>
  <si>
    <t xml:space="preserve">Product Backlog</t>
  </si>
  <si>
    <t xml:space="preserve">Security, UAT and hardening (Sprints 9–10)</t>
  </si>
  <si>
    <t xml:space="preserve">Penetration test remediation, redaction validation, load and accessibility testing, UAT.</t>
  </si>
  <si>
    <t xml:space="preserve">BR-15, BR-16, BR-17</t>
  </si>
  <si>
    <t xml:space="preserve">Medium</t>
  </si>
  <si>
    <t xml:space="preserve">L</t>
  </si>
  <si>
    <t xml:space="preserve">Pen test date (D-03); UAT approach (CR-06)</t>
  </si>
  <si>
    <t xml:space="preserve">D-03, CR-06, CR-03</t>
  </si>
  <si>
    <t xml:space="preserve">Go-live and hypercare</t>
  </si>
  <si>
    <t xml:space="preserve">Launch on 11 December and stabilize through the holiday change freeze.</t>
  </si>
  <si>
    <t xml:space="preserve">EX-01 to EX-12</t>
  </si>
  <si>
    <t xml:space="preserve">M</t>
  </si>
  <si>
    <t xml:space="preserve">Go-live go / no-go (RV-01)</t>
  </si>
  <si>
    <t xml:space="preserve">RV-01, RV-02</t>
  </si>
  <si>
    <t xml:space="preserve">Post-Launch Plan</t>
  </si>
  <si>
    <t xml:space="preserve">Agree dispute outcome definitions</t>
  </si>
  <si>
    <t xml:space="preserve">Resolve the Finance and Ops win-rate disagreement so reporting stories can be finished.</t>
  </si>
  <si>
    <t xml:space="preserve">KPI-01, KPI-02</t>
  </si>
  <si>
    <t xml:space="preserve">S</t>
  </si>
  <si>
    <t xml:space="preserve">CR-05 decision by Business Sponsor</t>
  </si>
  <si>
    <t xml:space="preserve">CR-05, I-05</t>
  </si>
  <si>
    <t xml:space="preserve">Change Log</t>
  </si>
  <si>
    <t xml:space="preserve">Analytics tracking plan and instrumentation</t>
  </si>
  <si>
    <t xml:space="preserve">Get the tracking plan approved and events live so pilot adoption can be measured.</t>
  </si>
  <si>
    <t xml:space="preserve">KPI-08 to KPI-11</t>
  </si>
  <si>
    <t xml:space="preserve">Low</t>
  </si>
  <si>
    <t xml:space="preserve">Data governance approval (I-06)</t>
  </si>
  <si>
    <t xml:space="preserve">I-06, US-034, LR-06</t>
  </si>
  <si>
    <t xml:space="preserve">RAID Log</t>
  </si>
  <si>
    <t xml:space="preserve">Fraud case reference on disputes</t>
  </si>
  <si>
    <t xml:space="preserve">Show a read-only fraud case ID and status on each dispute (CR-01 Option C).</t>
  </si>
  <si>
    <t xml:space="preserve">KPI-05</t>
  </si>
  <si>
    <t xml:space="preserve">CR-01 steering committee decision (24 Sep); fraud service (D-07)</t>
  </si>
  <si>
    <t xml:space="preserve">CR-01, US-036, D-07</t>
  </si>
  <si>
    <t xml:space="preserve">Pilot with 10 merchants</t>
  </si>
  <si>
    <t xml:space="preserve">Prove adoption, on-time responses and data protection with enterprise e-commerce merchants.</t>
  </si>
  <si>
    <t xml:space="preserve">KPI-08, KPI-03, KPI-16</t>
  </si>
  <si>
    <t xml:space="preserve">Terms of use (D-05); tracking plan (I-06); pilot go / no-go (LR-18)</t>
  </si>
  <si>
    <t xml:space="preserve">RV-03, R-04, A-01</t>
  </si>
  <si>
    <t xml:space="preserve">Business Case &amp; GTM</t>
  </si>
  <si>
    <t xml:space="preserve">Pilot feedback fixes</t>
  </si>
  <si>
    <t xml:space="preserve">Fix the usability issues pilot merchants raise.</t>
  </si>
  <si>
    <t xml:space="preserve">KPI-10, KPI-18</t>
  </si>
  <si>
    <t xml:space="preserve">Pilot exit review (RV-03)</t>
  </si>
  <si>
    <t xml:space="preserve">IR-01</t>
  </si>
  <si>
    <t xml:space="preserve">Merchant satisfaction survey</t>
  </si>
  <si>
    <t xml:space="preserve">Add a one-question survey when disputes close.</t>
  </si>
  <si>
    <t xml:space="preserve">KPI-18</t>
  </si>
  <si>
    <t xml:space="preserve">Monthly business review</t>
  </si>
  <si>
    <t xml:space="preserve">IR-02, KPI-18</t>
  </si>
  <si>
    <t xml:space="preserve">Wave 1 rollout</t>
  </si>
  <si>
    <t xml:space="preserve">Enterprise e-commerce and mid-market online retail (about 62% of dispute volume).</t>
  </si>
  <si>
    <t xml:space="preserve">KPI-06, KPI-04</t>
  </si>
  <si>
    <t xml:space="preserve">Pilot exit gates met (RV-03)</t>
  </si>
  <si>
    <t xml:space="preserve">Rollout Plan Phase 2</t>
  </si>
  <si>
    <t xml:space="preserve">Evidence guidance for recurring billing and travel</t>
  </si>
  <si>
    <t xml:space="preserve">Segment playbooks so Wave 2 merchants know what evidence wins.</t>
  </si>
  <si>
    <t xml:space="preserve">KPI-01, KPI-06</t>
  </si>
  <si>
    <t xml:space="preserve">Must be ready before Wave 2 (RV-06)</t>
  </si>
  <si>
    <t xml:space="preserve">IR-08</t>
  </si>
  <si>
    <t xml:space="preserve">Evidence templates by reason code</t>
  </si>
  <si>
    <t xml:space="preserve">Guided checklists and templates for each reason code.</t>
  </si>
  <si>
    <t xml:space="preserve">Discovery findings at post-implementation review (RV-04)</t>
  </si>
  <si>
    <t xml:space="preserve">IR-03, US-007</t>
  </si>
  <si>
    <t xml:space="preserve">Reason code admin screen</t>
  </si>
  <si>
    <t xml:space="preserve">Let dispute ops update reason codes and response windows without engineering (CR-02 Option C).</t>
  </si>
  <si>
    <t xml:space="preserve">Quarterly roadmap review</t>
  </si>
  <si>
    <t xml:space="preserve">CR-02, IR-04, US-047</t>
  </si>
  <si>
    <t xml:space="preserve">SMS deadline reminders</t>
  </si>
  <si>
    <t xml:space="preserve">Reach merchant users on their phones when a deadline is close.</t>
  </si>
  <si>
    <t xml:space="preserve">KPI-03, KPI-04</t>
  </si>
  <si>
    <t xml:space="preserve">CR-09 assessment and decision</t>
  </si>
  <si>
    <t xml:space="preserve">CR-09, IR-05, US-027</t>
  </si>
  <si>
    <t xml:space="preserve">Wave 2 rollout</t>
  </si>
  <si>
    <t xml:space="preserve">Subscription and digital services; travel and hospitality.</t>
  </si>
  <si>
    <t xml:space="preserve">KPI-06, KPI-05</t>
  </si>
  <si>
    <t xml:space="preserve">Wave 1 exit gates met (RV-06)</t>
  </si>
  <si>
    <t xml:space="preserve">Rollout Plan Phase 3</t>
  </si>
  <si>
    <t xml:space="preserve">Spanish language portal</t>
  </si>
  <si>
    <t xml:space="preserve">Serve Spanish-speaking merchants without a PDF workaround (CR-04 Phase 2).</t>
  </si>
  <si>
    <t xml:space="preserve">KPI-06</t>
  </si>
  <si>
    <t xml:space="preserve">Phase 2 funding decision</t>
  </si>
  <si>
    <t xml:space="preserve">CR-04, IR-07, US-046</t>
  </si>
  <si>
    <t xml:space="preserve">Fraud case management in the hub</t>
  </si>
  <si>
    <t xml:space="preserve">Let analysts work linked fraud cases and disputes together (CR-01 Phase 2).</t>
  </si>
  <si>
    <t xml:space="preserve">Fraud Operations Lead</t>
  </si>
  <si>
    <t xml:space="preserve">Phase 2 funding decision; fraud case service (D-07)</t>
  </si>
  <si>
    <t xml:space="preserve">CR-01, IR-06, US-045</t>
  </si>
  <si>
    <t xml:space="preserve">General availability</t>
  </si>
  <si>
    <t xml:space="preserve">Self-serve launch to all remaining merchants.</t>
  </si>
  <si>
    <t xml:space="preserve">KPI-06, KPI-07</t>
  </si>
  <si>
    <t xml:space="preserve">Wave 2 exit gates met (RV-08)</t>
  </si>
  <si>
    <t xml:space="preserve">Rollout Plan Phase 4</t>
  </si>
  <si>
    <t xml:space="preserve">Retire email dispute intake</t>
  </si>
  <si>
    <t xml:space="preserve">Close the parallel email channel wave by wave once portal share targets are met.</t>
  </si>
  <si>
    <t xml:space="preserve">KPI-05, KPI-06</t>
  </si>
  <si>
    <t xml:space="preserve">Wave exit gates; ops capacity plan (LR-17)</t>
  </si>
  <si>
    <t xml:space="preserve">IR-12, BAU Transition</t>
  </si>
  <si>
    <t xml:space="preserve">Auto-accept rules for low-value disputes</t>
  </si>
  <si>
    <t xml:space="preserve">Let merchants set rules to accept disputes not worth contesting.</t>
  </si>
  <si>
    <t xml:space="preserve">Post-implementation review (RV-04)</t>
  </si>
  <si>
    <t xml:space="preserve">IR-09</t>
  </si>
  <si>
    <t xml:space="preserve">Marketplace sub-merchant model</t>
  </si>
  <si>
    <t xml:space="preserve">Let marketplaces manage disputes for their sub-merchants.</t>
  </si>
  <si>
    <t xml:space="preserve">2028 planning</t>
  </si>
  <si>
    <t xml:space="preserve">IR-10</t>
  </si>
  <si>
    <t xml:space="preserve">Evidence quality checks before submission</t>
  </si>
  <si>
    <t xml:space="preserve">Flag weak or missing evidence before a merchant submits.</t>
  </si>
  <si>
    <t xml:space="preserve">IR-11</t>
  </si>
  <si>
    <t xml:space="preserve">Dispute API for enterprise merchants</t>
  </si>
  <si>
    <t xml:space="preserve">Let large merchants connect their own order and support systems to the hub. New idea; demand not yet validated.</t>
  </si>
  <si>
    <t xml:space="preserve">Enterprise merchant interviews; 2028 planning</t>
  </si>
  <si>
    <t xml:space="preserve">New idea</t>
  </si>
  <si>
    <t xml:space="preserve">Premium dispute management service</t>
  </si>
  <si>
    <t xml:space="preserve">Paid assisted dispute handling for high-volume merchants. New idea; needs a business case.</t>
  </si>
  <si>
    <t xml:space="preserve">Revenue (new)</t>
  </si>
  <si>
    <t xml:space="preserve">Business case and pricing review</t>
  </si>
  <si>
    <t xml:space="preserve">Pre-dispute alerts and early refunds</t>
  </si>
  <si>
    <t xml:space="preserve">Resolve eligible disputes before they become chargebacks using network and issuer alert programs, such as Amex Accelerated Dispute Resolution.</t>
  </si>
  <si>
    <t xml:space="preserve">KPI-19, KPI-04</t>
  </si>
  <si>
    <t xml:space="preserve">Alert programs and costs confirmed with acquirer; Wave 1 exit (RV-06)</t>
  </si>
  <si>
    <t xml:space="preserve">S09, DSC-09</t>
  </si>
  <si>
    <t xml:space="preserve">Discovery log</t>
  </si>
  <si>
    <t xml:space="preserve">AI evidence copilot (pilot)</t>
  </si>
  <si>
    <t xml:space="preserve">Draft evidence packets from connected systems with a win likelihood, and require human review above a set amount.</t>
  </si>
  <si>
    <t xml:space="preserve">KPI-20, KPI-01, KPI-05</t>
  </si>
  <si>
    <t xml:space="preserve">AI model risk review (MS-11); evidence templates in place (RM-12)</t>
  </si>
  <si>
    <t xml:space="preserve">S10, DSC-07, DSC-08</t>
  </si>
  <si>
    <t xml:space="preserve">Friendly fraud evidence automation</t>
  </si>
  <si>
    <t xml:space="preserve">Find earlier undisputed purchases with matching identifiers to meet network rules such as Visa Compelling Evidence 3.0 and Mastercard First-Party Trust.</t>
  </si>
  <si>
    <t xml:space="preserve">KPI-02, KPI-01</t>
  </si>
  <si>
    <t xml:space="preserve">Network eligibility rules confirmed; 2028 planning</t>
  </si>
  <si>
    <t xml:space="preserve">S10, DSC-14</t>
  </si>
  <si>
    <t xml:space="preserve">Dispute ratio health alerts</t>
  </si>
  <si>
    <t xml:space="preserve">Show merchants how close they are to card network monitoring thresholds and alert them before they cross.</t>
  </si>
  <si>
    <t xml:space="preserve">KPI-21</t>
  </si>
  <si>
    <t xml:space="preserve">Ratio data source and thresholds confirmed with acquirer</t>
  </si>
  <si>
    <t xml:space="preserve">S11, DSC-10</t>
  </si>
  <si>
    <t xml:space="preserve">Root-cause insights and recommendations</t>
  </si>
  <si>
    <t xml:space="preserve">Show which products, billing names and channels create disputes, with recommended fixes merchants can act on.</t>
  </si>
  <si>
    <t xml:space="preserve">KPI-04, KPI-01</t>
  </si>
  <si>
    <t xml:space="preserve">Minimum data volume reached; 2028 planning</t>
  </si>
  <si>
    <t xml:space="preserve">S12, DSC-11</t>
  </si>
  <si>
    <t xml:space="preserve">AI agent purchase readiness</t>
  </si>
  <si>
    <t xml:space="preserve">Capture AI shopping agent authorization records so merchants can defend agent-initiated purchases.</t>
  </si>
  <si>
    <t xml:space="preserve">KPI-21, KPI-02</t>
  </si>
  <si>
    <t xml:space="preserve">Network agent token standards mature; 2028 planning</t>
  </si>
  <si>
    <t xml:space="preserve">S13, DSC-15</t>
  </si>
  <si>
    <t xml:space="preserve">Milestones &amp; Gates</t>
  </si>
  <si>
    <t xml:space="preserve">Merchant Payment Operations &amp; Dispute Hub · Simulation project · Decisions, gates and launches that shape the roadmap</t>
  </si>
  <si>
    <t xml:space="preserve">Days from reporting date</t>
  </si>
  <si>
    <t xml:space="preserve">Timing</t>
  </si>
  <si>
    <t xml:space="preserve">h</t>
  </si>
  <si>
    <t xml:space="preserve">MS-01</t>
  </si>
  <si>
    <t xml:space="preserve">CR-05 outcome definitions decision</t>
  </si>
  <si>
    <t xml:space="preserve">Decision</t>
  </si>
  <si>
    <t xml:space="preserve">CR-05</t>
  </si>
  <si>
    <t xml:space="preserve">MS-02</t>
  </si>
  <si>
    <t xml:space="preserve">Steering committee: CR-01 scope and CR-06 UAT approach</t>
  </si>
  <si>
    <t xml:space="preserve">Steering Committee</t>
  </si>
  <si>
    <t xml:space="preserve">CR-01, CR-06</t>
  </si>
  <si>
    <t xml:space="preserve">MS-03</t>
  </si>
  <si>
    <t xml:space="preserve">Penetration test (committed date)</t>
  </si>
  <si>
    <t xml:space="preserve">Dependency</t>
  </si>
  <si>
    <t xml:space="preserve">InfoSec Lead</t>
  </si>
  <si>
    <t xml:space="preserve">D-03</t>
  </si>
  <si>
    <t xml:space="preserve">MS-04</t>
  </si>
  <si>
    <t xml:space="preserve">Go-live go / no-go</t>
  </si>
  <si>
    <t xml:space="preserve">Gate</t>
  </si>
  <si>
    <t xml:space="preserve">RV-01</t>
  </si>
  <si>
    <t xml:space="preserve">MS-05</t>
  </si>
  <si>
    <t xml:space="preserve">MVP go-live</t>
  </si>
  <si>
    <t xml:space="preserve">Launch</t>
  </si>
  <si>
    <t xml:space="preserve">MS-06</t>
  </si>
  <si>
    <t xml:space="preserve">Hypercare exit review</t>
  </si>
  <si>
    <t xml:space="preserve">RV-02</t>
  </si>
  <si>
    <t xml:space="preserve">MS-07</t>
  </si>
  <si>
    <t xml:space="preserve">Pilot exit review and Wave 1 go / no-go</t>
  </si>
  <si>
    <t xml:space="preserve">RV-03</t>
  </si>
  <si>
    <t xml:space="preserve">MS-08</t>
  </si>
  <si>
    <t xml:space="preserve">Post-implementation review</t>
  </si>
  <si>
    <t xml:space="preserve">Review</t>
  </si>
  <si>
    <t xml:space="preserve">RV-04</t>
  </si>
  <si>
    <t xml:space="preserve">MS-09</t>
  </si>
  <si>
    <t xml:space="preserve">RM-16, RM-17</t>
  </si>
  <si>
    <t xml:space="preserve">MS-10</t>
  </si>
  <si>
    <t xml:space="preserve">Wave 2 go / no-go</t>
  </si>
  <si>
    <t xml:space="preserve">RV-06</t>
  </si>
  <si>
    <t xml:space="preserve">MS-11</t>
  </si>
  <si>
    <t xml:space="preserve">AI copilot model risk review</t>
  </si>
  <si>
    <t xml:space="preserve">RM-26, DSC-08</t>
  </si>
  <si>
    <t xml:space="preserve">MS-12</t>
  </si>
  <si>
    <t xml:space="preserve">General availability go / no-go</t>
  </si>
  <si>
    <t xml:space="preserve">RV-08</t>
  </si>
  <si>
    <t xml:space="preserve">MS-13</t>
  </si>
  <si>
    <t xml:space="preserve">2028 roadmap planning</t>
  </si>
  <si>
    <t xml:space="preserve">RM-21 to RM-24</t>
  </si>
  <si>
    <t xml:space="preserve">MS-14</t>
  </si>
  <si>
    <t xml:space="preserve">Year 1 benefits review</t>
  </si>
  <si>
    <t xml:space="preserve">RV-10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</si>
</sst>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dd\-mmm\-yyyy"/>
    <numFmt numFmtId="166" formatCode="General"/>
    <numFmt numFmtId="167" formatCode="mmm"/>
    <numFmt numFmtId="168" formatCode="dd\-mmm\-yy"/>
    <numFmt numFmtId="169" formatCode="mm/dd/yy"/>
  </numFmts>
  <fonts count="3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1F3A5F"/>
      <name val="Arial"/>
      <family val="0"/>
      <charset val="1"/>
    </font>
    <font>
      <b val="true"/>
      <sz val="14"/>
      <color rgb="FF2E7D8C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10"/>
      <color rgb="FF9C0006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1F4E78"/>
      <name val="Arial"/>
      <family val="0"/>
      <charset val="1"/>
    </font>
    <font>
      <b val="true"/>
      <sz val="10"/>
      <color rgb="FF404040"/>
      <name val="Arial"/>
      <family val="0"/>
      <charset val="1"/>
    </font>
    <font>
      <b val="true"/>
      <sz val="10"/>
      <color rgb="FF7F3F00"/>
      <name val="Arial"/>
      <family val="0"/>
      <charset val="1"/>
    </font>
    <font>
      <b val="true"/>
      <sz val="18"/>
      <color rgb="FF1F3A5F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4"/>
      <color rgb="FF1F3A5F"/>
      <name val="Arial"/>
      <family val="0"/>
      <charset val="1"/>
    </font>
    <font>
      <b val="true"/>
      <sz val="14"/>
      <color rgb="FF9C5700"/>
      <name val="Arial"/>
      <family val="0"/>
      <charset val="1"/>
    </font>
    <font>
      <b val="true"/>
      <sz val="10"/>
      <color rgb="FF008000"/>
      <name val="Arial"/>
      <family val="0"/>
      <charset val="1"/>
    </font>
    <font>
      <sz val="10"/>
      <color rgb="FF008000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6"/>
      <color rgb="FF1F3A5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8"/>
      <color rgb="FF1F3A5F"/>
      <name val="Arial"/>
      <family val="0"/>
      <charset val="1"/>
    </font>
    <font>
      <b val="true"/>
      <sz val="8"/>
      <color rgb="FF1F4E78"/>
      <name val="Arial"/>
      <family val="0"/>
      <charset val="1"/>
    </font>
    <font>
      <b val="true"/>
      <sz val="8"/>
      <color rgb="FF404040"/>
      <name val="Arial"/>
      <family val="0"/>
      <charset val="1"/>
    </font>
    <font>
      <b val="true"/>
      <sz val="8"/>
      <color rgb="FF7F3F00"/>
      <name val="Arial"/>
      <family val="0"/>
      <charset val="1"/>
    </font>
    <font>
      <b val="true"/>
      <sz val="8"/>
      <color rgb="FF7F6000"/>
      <name val="Arial"/>
      <family val="0"/>
      <charset val="1"/>
    </font>
    <font>
      <b val="true"/>
      <sz val="9"/>
      <color rgb="FF1F3A5F"/>
      <name val="Arial"/>
      <family val="0"/>
      <charset val="1"/>
    </font>
    <font>
      <b val="true"/>
      <sz val="7"/>
      <color rgb="FFFFFFFF"/>
      <name val="Arial"/>
      <family val="0"/>
      <charset val="1"/>
    </font>
    <font>
      <sz val="8"/>
      <color rgb="FF000000"/>
      <name val="Arial"/>
      <family val="0"/>
      <charset val="1"/>
    </font>
    <font>
      <sz val="8"/>
      <color rgb="FF008000"/>
      <name val="Arial"/>
      <family val="0"/>
      <charset val="1"/>
    </font>
    <font>
      <i val="true"/>
      <sz val="9"/>
      <color rgb="FF7F7F7F"/>
      <name val="Arial"/>
      <family val="0"/>
      <charset val="1"/>
    </font>
    <font>
      <b val="true"/>
      <sz val="14"/>
      <color rgb="FFFFFFFF"/>
      <name val="Arial"/>
      <family val="0"/>
      <charset val="1"/>
    </font>
    <font>
      <i val="true"/>
      <sz val="9"/>
      <color rgb="FF595959"/>
      <name val="Arial"/>
      <family val="0"/>
      <charset val="1"/>
    </font>
  </fonts>
  <fills count="17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1F3A5F"/>
        <bgColor rgb="FF1F4E78"/>
      </patternFill>
    </fill>
    <fill>
      <patternFill patternType="solid">
        <fgColor rgb="FFD9D9D9"/>
        <bgColor rgb="FFD0D7DE"/>
      </patternFill>
    </fill>
    <fill>
      <patternFill patternType="solid">
        <fgColor rgb="FF2E7D5B"/>
        <bgColor rgb="FF2E7D8C"/>
      </patternFill>
    </fill>
    <fill>
      <patternFill patternType="solid">
        <fgColor rgb="FF2E7D8C"/>
        <bgColor rgb="FF2E7D5B"/>
      </patternFill>
    </fill>
    <fill>
      <patternFill patternType="solid">
        <fgColor rgb="FF9CC9D1"/>
        <bgColor rgb="FFBFBFBF"/>
      </patternFill>
    </fill>
    <fill>
      <patternFill patternType="solid">
        <fgColor rgb="FFDDEBF7"/>
        <bgColor rgb="FFEDEDED"/>
      </patternFill>
    </fill>
    <fill>
      <patternFill patternType="solid">
        <fgColor rgb="FFF4B183"/>
        <bgColor rgb="FFFFC7CE"/>
      </patternFill>
    </fill>
    <fill>
      <patternFill patternType="solid">
        <fgColor rgb="FFB7791F"/>
        <bgColor rgb="FF9C5700"/>
      </patternFill>
    </fill>
    <fill>
      <patternFill patternType="solid">
        <fgColor rgb="FF6B4C9A"/>
        <bgColor rgb="FF595959"/>
      </patternFill>
    </fill>
    <fill>
      <patternFill patternType="solid">
        <fgColor rgb="FF7F7F7F"/>
        <bgColor rgb="FF878787"/>
      </patternFill>
    </fill>
    <fill>
      <patternFill patternType="solid">
        <fgColor rgb="FF404040"/>
        <bgColor rgb="FF1F3A5F"/>
      </patternFill>
    </fill>
    <fill>
      <patternFill patternType="solid">
        <fgColor rgb="FFC00000"/>
        <bgColor rgb="FF9C0006"/>
      </patternFill>
    </fill>
    <fill>
      <patternFill patternType="solid">
        <fgColor rgb="FF595959"/>
        <bgColor rgb="FF404040"/>
      </patternFill>
    </fill>
    <fill>
      <patternFill patternType="solid">
        <fgColor rgb="FFF2F2F2"/>
        <bgColor rgb="FFEDEDED"/>
      </patternFill>
    </fill>
  </fills>
  <borders count="7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/>
      <right/>
      <top style="thin">
        <color rgb="FFBFBFBF"/>
      </top>
      <bottom style="thin">
        <color rgb="FFBFBFBF"/>
      </bottom>
      <diagonal/>
    </border>
    <border diagonalUp="false" diagonalDown="false">
      <left style="hair">
        <color rgb="FFD0D7DE"/>
      </left>
      <right style="hair">
        <color rgb="FFD0D7DE"/>
      </right>
      <top style="hair">
        <color rgb="FFD0D7DE"/>
      </top>
      <bottom style="hair">
        <color rgb="FFD0D7DE"/>
      </bottom>
      <diagonal/>
    </border>
    <border diagonalUp="false" diagonalDown="false">
      <left style="thick">
        <color rgb="FFC00000"/>
      </left>
      <right/>
      <top/>
      <bottom style="thin">
        <color rgb="FFD9D9D9"/>
      </bottom>
      <diagonal/>
    </border>
    <border diagonalUp="false" diagonalDown="false">
      <left style="thick">
        <color rgb="FFB7791F"/>
      </left>
      <right/>
      <top/>
      <bottom style="thin">
        <color rgb="FFD9D9D9"/>
      </bottom>
      <diagonal/>
    </border>
    <border diagonalUp="false" diagonalDown="false">
      <left style="thick">
        <color rgb="FF595959"/>
      </left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8" fillId="2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7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8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9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21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6" fontId="20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6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6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7" fillId="7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8" fillId="8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4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9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33" fillId="6" borderId="1" xfId="0" applyFont="true" applyBorder="true" applyAlignment="true" applyProtection="false">
      <alignment horizontal="center" vertical="center" textRotation="90" wrapText="false" indent="0" shrinkToFit="false"/>
      <protection locked="true" hidden="false"/>
    </xf>
    <xf numFmtId="164" fontId="12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34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6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1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1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3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7" fillId="14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37" fillId="1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37" fillId="15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3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4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5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6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10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11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2" fillId="1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11" fillId="1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1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1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1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7" fillId="16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9" fontId="7" fillId="1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1">
    <dxf>
      <font>
        <name val="Arial"/>
        <charset val="1"/>
        <family val="0"/>
        <b val="1"/>
        <color rgb="FF1F4E78"/>
        <sz val="10"/>
      </font>
      <fill>
        <patternFill>
          <bgColor rgb="FFDDEBF7"/>
        </patternFill>
      </fill>
    </dxf>
    <dxf>
      <font>
        <name val="Arial"/>
        <charset val="1"/>
        <family val="0"/>
        <b val="1"/>
        <color rgb="FF9C5700"/>
        <sz val="10"/>
      </font>
      <fill>
        <patternFill>
          <bgColor rgb="FFFFEB9C"/>
        </patternFill>
      </fill>
    </dxf>
    <dxf>
      <font>
        <name val="Arial"/>
        <charset val="1"/>
        <family val="0"/>
        <b val="1"/>
        <color rgb="FF006100"/>
        <sz val="10"/>
      </font>
      <fill>
        <patternFill>
          <bgColor rgb="FFC6EFCE"/>
        </patternFill>
      </fill>
    </dxf>
    <dxf>
      <font>
        <name val="Arial"/>
        <charset val="1"/>
        <family val="0"/>
        <b val="1"/>
        <color rgb="FF9C0006"/>
        <sz val="10"/>
      </font>
      <fill>
        <patternFill>
          <bgColor rgb="FFFFC7CE"/>
        </patternFill>
      </fill>
    </dxf>
    <dxf>
      <fill>
        <patternFill>
          <bgColor rgb="FF2E7D5B"/>
        </patternFill>
      </fill>
    </dxf>
    <dxf>
      <fill>
        <patternFill>
          <bgColor rgb="FF1F3A5F"/>
        </patternFill>
      </fill>
    </dxf>
    <dxf>
      <fill>
        <patternFill>
          <bgColor rgb="FF2E7D8C"/>
        </patternFill>
      </fill>
    </dxf>
    <dxf>
      <fill>
        <patternFill>
          <bgColor rgb="FF9CC9D1"/>
        </patternFill>
      </fill>
    </dxf>
    <dxf>
      <fill>
        <patternFill>
          <bgColor rgb="FFDDEBF7"/>
        </patternFill>
      </fill>
    </dxf>
    <dxf>
      <fill>
        <patternFill>
          <bgColor rgb="FFD9D9D9"/>
        </patternFill>
      </fill>
    </dxf>
    <dxf>
      <fill>
        <patternFill>
          <bgColor rgb="FFF4B183"/>
        </patternFill>
      </fill>
    </dxf>
    <dxf>
      <fill>
        <patternFill>
          <bgColor rgb="FFFFF2CC"/>
        </patternFill>
      </fill>
    </dxf>
    <dxf>
      <font>
        <name val="Arial"/>
        <charset val="1"/>
        <family val="0"/>
        <b val="1"/>
        <color rgb="FFFFFFFF"/>
        <sz val="10"/>
      </font>
      <fill>
        <patternFill>
          <bgColor rgb="FF2E7D5B"/>
        </patternFill>
      </fill>
    </dxf>
    <dxf>
      <font>
        <name val="Arial"/>
        <charset val="1"/>
        <family val="0"/>
        <b val="1"/>
        <color rgb="FFFFFFFF"/>
        <sz val="10"/>
      </font>
      <fill>
        <patternFill>
          <bgColor rgb="FF1F3A5F"/>
        </patternFill>
      </fill>
    </dxf>
    <dxf>
      <font>
        <name val="Arial"/>
        <charset val="1"/>
        <family val="0"/>
        <b val="1"/>
        <color rgb="FFFFFFFF"/>
        <sz val="10"/>
      </font>
      <fill>
        <patternFill>
          <bgColor rgb="FF2E7D8C"/>
        </patternFill>
      </fill>
    </dxf>
    <dxf>
      <font>
        <name val="Arial"/>
        <charset val="1"/>
        <family val="0"/>
        <b val="1"/>
        <color rgb="FF1F3A5F"/>
        <sz val="10"/>
      </font>
      <fill>
        <patternFill>
          <bgColor rgb="FF9CC9D1"/>
        </patternFill>
      </fill>
    </dxf>
    <dxf>
      <font>
        <name val="Arial"/>
        <charset val="1"/>
        <family val="0"/>
        <b val="1"/>
        <color rgb="FF404040"/>
        <sz val="10"/>
      </font>
      <fill>
        <patternFill>
          <bgColor rgb="FFD9D9D9"/>
        </patternFill>
      </fill>
    </dxf>
    <dxf>
      <font>
        <name val="Arial"/>
        <charset val="1"/>
        <family val="0"/>
        <b val="1"/>
        <color rgb="FF7F3F00"/>
        <sz val="10"/>
      </font>
      <fill>
        <patternFill>
          <bgColor rgb="FFF4B183"/>
        </patternFill>
      </fill>
    </dxf>
    <dxf>
      <font>
        <name val="Arial"/>
        <charset val="1"/>
        <family val="0"/>
        <b val="1"/>
        <color rgb="FF1F3A5F"/>
        <sz val="7"/>
      </font>
      <fill>
        <patternFill>
          <bgColor rgb="FFFFC000"/>
        </patternFill>
      </fill>
    </dxf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2E7D8C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fgColor rgb="FFEDEDED"/>
          <bgColor rgb="FF000000"/>
        </patternFill>
      </fill>
    </dxf>
    <dxf>
      <fill>
        <patternFill patternType="solid">
          <fgColor rgb="FFFFC7CE"/>
          <bgColor rgb="FF000000"/>
        </patternFill>
      </fill>
    </dxf>
    <dxf>
      <fill>
        <patternFill patternType="solid">
          <fgColor rgb="FFFFEB9C"/>
          <bgColor rgb="FF000000"/>
        </patternFill>
      </fill>
    </dxf>
    <dxf>
      <fill>
        <patternFill patternType="solid">
          <fgColor rgb="FF595959"/>
          <bgColor rgb="FF000000"/>
        </patternFill>
      </fill>
    </dxf>
    <dxf>
      <fill>
        <patternFill patternType="solid">
          <fgColor rgb="FF9C0006"/>
          <bgColor rgb="FF000000"/>
        </patternFill>
      </fill>
    </dxf>
    <dxf>
      <fill>
        <patternFill patternType="solid">
          <fgColor rgb="FF9C5700"/>
          <bgColor rgb="FF000000"/>
        </patternFill>
      </fill>
    </dxf>
    <dxf>
      <fill>
        <patternFill patternType="solid">
          <fgColor rgb="FF9CC9D1"/>
          <bgColor rgb="FF000000"/>
        </patternFill>
      </fill>
    </dxf>
    <dxf>
      <fill>
        <patternFill patternType="solid">
          <fgColor rgb="FFD9D9D9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4B183"/>
          <bgColor rgb="FF000000"/>
        </patternFill>
      </fill>
    </dxf>
    <dxf>
      <fill>
        <patternFill patternType="solid">
          <fgColor rgb="FF1F4E78"/>
          <bgColor rgb="FF000000"/>
        </patternFill>
      </fill>
    </dxf>
    <dxf>
      <fill>
        <patternFill patternType="solid">
          <fgColor rgb="FF404040"/>
          <bgColor rgb="FF000000"/>
        </patternFill>
      </fill>
    </dxf>
    <dxf>
      <fill>
        <patternFill patternType="solid">
          <fgColor rgb="FF7F3F00"/>
          <bgColor rgb="FF000000"/>
        </patternFill>
      </fill>
    </dxf>
    <dxf>
      <fill>
        <patternFill patternType="solid">
          <fgColor rgb="FFC6EFCE"/>
          <bgColor rgb="FF000000"/>
        </patternFill>
      </fill>
    </dxf>
    <dxf>
      <fill>
        <patternFill patternType="solid">
          <fgColor rgb="FF006100"/>
          <bgColor rgb="FF000000"/>
        </patternFill>
      </fill>
    </dxf>
    <dxf>
      <font>
        <name val="Arial"/>
        <charset val="1"/>
        <family val="0"/>
        <b val="1"/>
        <color rgb="FF595959"/>
        <sz val="10"/>
      </font>
      <fill>
        <patternFill>
          <bgColor rgb="FFEDEDED"/>
        </patternFill>
      </fill>
    </dxf>
  </dxfs>
  <colors>
    <indexedColors>
      <rgbColor rgb="FF000000"/>
      <rgbColor rgb="FFFFFFFF"/>
      <rgbColor rgb="FFC00000"/>
      <rgbColor rgb="FF00FF00"/>
      <rgbColor rgb="FF0000FF"/>
      <rgbColor rgb="FFEDEDED"/>
      <rgbColor rgb="FFFF00FF"/>
      <rgbColor rgb="FF00FFFF"/>
      <rgbColor rgb="FF9C0006"/>
      <rgbColor rgb="FF008000"/>
      <rgbColor rgb="FF000080"/>
      <rgbColor rgb="FF7F6000"/>
      <rgbColor rgb="FF800080"/>
      <rgbColor rgb="FF2E7D8C"/>
      <rgbColor rgb="FFBFBFBF"/>
      <rgbColor rgb="FF7F7F7F"/>
      <rgbColor rgb="FFA6A6A6"/>
      <rgbColor rgb="FF9C5700"/>
      <rgbColor rgb="FFFFF2CC"/>
      <rgbColor rgb="FFDDEBF7"/>
      <rgbColor rgb="FF660066"/>
      <rgbColor rgb="FFFF8080"/>
      <rgbColor rgb="FF0066CC"/>
      <rgbColor rgb="FFD0D7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C6EFCE"/>
      <rgbColor rgb="FFFFEB9C"/>
      <rgbColor rgb="FF9CC9D1"/>
      <rgbColor rgb="FFF4B183"/>
      <rgbColor rgb="FFD9D9D9"/>
      <rgbColor rgb="FFFFC7CE"/>
      <rgbColor rgb="FF3366FF"/>
      <rgbColor rgb="FF33CCCC"/>
      <rgbColor rgb="FF99CC00"/>
      <rgbColor rgb="FFFFC000"/>
      <rgbColor rgb="FFFF9900"/>
      <rgbColor rgb="FFB7791F"/>
      <rgbColor rgb="FF6B4C9A"/>
      <rgbColor rgb="FF878787"/>
      <rgbColor rgb="FF1F3A5F"/>
      <rgbColor rgb="FF2E7D5B"/>
      <rgbColor rgb="FF006100"/>
      <rgbColor rgb="FF333300"/>
      <rgbColor rgb="FF7F3F00"/>
      <rgbColor rgb="FF595959"/>
      <rgbColor rgb="FF1F4E78"/>
      <rgbColor rgb="FF404040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Initiatives by theme and horizon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Overview!C10</c:f>
              <c:strCache>
                <c:ptCount val="1"/>
                <c:pt idx="0">
                  <c:v>Now</c:v>
                </c:pt>
              </c:strCache>
            </c:strRef>
          </c:tx>
          <c:spPr>
            <a:solidFill>
              <a:srgbClr val="c00000"/>
            </a:solidFill>
            <a:ln w="0">
              <a:solidFill>
                <a:srgbClr val="c00000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Overview!$B$11:$B$16</c:f>
              <c:strCache>
                <c:ptCount val="6"/>
                <c:pt idx="0">
                  <c:v>Launch the MVP</c:v>
                </c:pt>
                <c:pt idx="1">
                  <c:v>Merchant adoption and rollout</c:v>
                </c:pt>
                <c:pt idx="2">
                  <c:v>Help merchants win more disputes</c:v>
                </c:pt>
                <c:pt idx="3">
                  <c:v>Ops efficiency</c:v>
                </c:pt>
                <c:pt idx="4">
                  <c:v>Trust, compliance and data</c:v>
                </c:pt>
                <c:pt idx="5">
                  <c:v>Expansion</c:v>
                </c:pt>
              </c:strCache>
            </c:strRef>
          </c:cat>
          <c:val>
            <c:numRef>
              <c:f>Overview!$C$11:$C$16</c:f>
              <c:numCache>
                <c:formatCode>General</c:formatCode>
                <c:ptCount val="6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</c:ser>
        <c:ser>
          <c:idx val="1"/>
          <c:order val="1"/>
          <c:tx>
            <c:strRef>
              <c:f>Overview!D10</c:f>
              <c:strCache>
                <c:ptCount val="1"/>
                <c:pt idx="0">
                  <c:v>Next</c:v>
                </c:pt>
              </c:strCache>
            </c:strRef>
          </c:tx>
          <c:spPr>
            <a:solidFill>
              <a:srgbClr val="b7791f"/>
            </a:solidFill>
            <a:ln w="0">
              <a:solidFill>
                <a:srgbClr val="b7791f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Overview!$B$11:$B$16</c:f>
              <c:strCache>
                <c:ptCount val="6"/>
                <c:pt idx="0">
                  <c:v>Launch the MVP</c:v>
                </c:pt>
                <c:pt idx="1">
                  <c:v>Merchant adoption and rollout</c:v>
                </c:pt>
                <c:pt idx="2">
                  <c:v>Help merchants win more disputes</c:v>
                </c:pt>
                <c:pt idx="3">
                  <c:v>Ops efficiency</c:v>
                </c:pt>
                <c:pt idx="4">
                  <c:v>Trust, compliance and data</c:v>
                </c:pt>
                <c:pt idx="5">
                  <c:v>Expansion</c:v>
                </c:pt>
              </c:strCache>
            </c:strRef>
          </c:cat>
          <c:val>
            <c:numRef>
              <c:f>Overview!$D$11:$D$16</c:f>
              <c:numCache>
                <c:formatCode>General</c:formatCode>
                <c:ptCount val="6"/>
                <c:pt idx="0">
                  <c:v>0</c:v>
                </c:pt>
                <c:pt idx="1">
                  <c:v>5</c:v>
                </c:pt>
                <c:pt idx="2">
                  <c:v>5</c:v>
                </c:pt>
                <c:pt idx="3">
                  <c:v>3</c:v>
                </c:pt>
                <c:pt idx="4">
                  <c:v>2</c:v>
                </c:pt>
                <c:pt idx="5">
                  <c:v>0</c:v>
                </c:pt>
              </c:numCache>
            </c:numRef>
          </c:val>
        </c:ser>
        <c:ser>
          <c:idx val="2"/>
          <c:order val="2"/>
          <c:tx>
            <c:strRef>
              <c:f>Overview!E10</c:f>
              <c:strCache>
                <c:ptCount val="1"/>
                <c:pt idx="0">
                  <c:v>Later</c:v>
                </c:pt>
              </c:strCache>
            </c:strRef>
          </c:tx>
          <c:spPr>
            <a:solidFill>
              <a:srgbClr val="a6a6a6"/>
            </a:solidFill>
            <a:ln w="0">
              <a:solidFill>
                <a:srgbClr val="a6a6a6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Overview!$B$11:$B$16</c:f>
              <c:strCache>
                <c:ptCount val="6"/>
                <c:pt idx="0">
                  <c:v>Launch the MVP</c:v>
                </c:pt>
                <c:pt idx="1">
                  <c:v>Merchant adoption and rollout</c:v>
                </c:pt>
                <c:pt idx="2">
                  <c:v>Help merchants win more disputes</c:v>
                </c:pt>
                <c:pt idx="3">
                  <c:v>Ops efficiency</c:v>
                </c:pt>
                <c:pt idx="4">
                  <c:v>Trust, compliance and data</c:v>
                </c:pt>
                <c:pt idx="5">
                  <c:v>Expansion</c:v>
                </c:pt>
              </c:strCache>
            </c:strRef>
          </c:cat>
          <c:val>
            <c:numRef>
              <c:f>Overview!$E$11:$E$16</c:f>
              <c:numCache>
                <c:formatCode>General</c:formatCode>
                <c:ptCount val="6"/>
                <c:pt idx="0">
                  <c:v>0</c:v>
                </c:pt>
                <c:pt idx="1">
                  <c:v>1</c:v>
                </c:pt>
                <c:pt idx="2">
                  <c:v>3</c:v>
                </c:pt>
                <c:pt idx="3">
                  <c:v>1</c:v>
                </c:pt>
                <c:pt idx="4">
                  <c:v>0</c:v>
                </c:pt>
                <c:pt idx="5">
                  <c:v>4</c:v>
                </c:pt>
              </c:numCache>
            </c:numRef>
          </c:val>
        </c:ser>
        <c:gapWidth val="150"/>
        <c:overlap val="100"/>
        <c:axId val="45147009"/>
        <c:axId val="78674724"/>
      </c:barChart>
      <c:catAx>
        <c:axId val="45147009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8674724"/>
        <c:crosses val="autoZero"/>
        <c:auto val="1"/>
        <c:lblAlgn val="ctr"/>
        <c:lblOffset val="100"/>
        <c:noMultiLvlLbl val="0"/>
      </c:catAx>
      <c:valAx>
        <c:axId val="78674724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5147009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16</xdr:row>
      <xdr:rowOff>101160</xdr:rowOff>
    </xdr:from>
    <xdr:to>
      <xdr:col>8</xdr:col>
      <xdr:colOff>573840</xdr:colOff>
      <xdr:row>28</xdr:row>
      <xdr:rowOff>154800</xdr:rowOff>
    </xdr:to>
    <xdr:graphicFrame>
      <xdr:nvGraphicFramePr>
        <xdr:cNvPr id="0" name="Chart 1"/>
        <xdr:cNvGraphicFramePr/>
      </xdr:nvGraphicFramePr>
      <xdr:xfrm>
        <a:off x="211320" y="4438800"/>
        <a:ext cx="7199640" cy="233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G4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4"/>
    <col collapsed="false" customWidth="true" hidden="false" outlineLevel="0" max="7" min="3" style="0" width="20"/>
  </cols>
  <sheetData>
    <row r="2" customFormat="false" ht="29.15" hidden="false" customHeight="false" outlineLevel="0" collapsed="false">
      <c r="B2" s="1" t="s">
        <v>0</v>
      </c>
    </row>
    <row r="3" customFormat="false" ht="17.35" hidden="false" customHeight="false" outlineLevel="0" collapsed="false">
      <c r="B3" s="2" t="s">
        <v>1</v>
      </c>
    </row>
    <row r="5" customFormat="false" ht="15" hidden="false" customHeight="true" outlineLevel="0" collapsed="false">
      <c r="B5" s="3" t="s">
        <v>2</v>
      </c>
      <c r="C5" s="4" t="s">
        <v>3</v>
      </c>
      <c r="D5" s="4"/>
      <c r="E5" s="4"/>
      <c r="F5" s="4"/>
      <c r="G5" s="4"/>
    </row>
    <row r="6" customFormat="false" ht="15" hidden="false" customHeight="true" outlineLevel="0" collapsed="false">
      <c r="B6" s="3" t="s">
        <v>4</v>
      </c>
      <c r="C6" s="4" t="s">
        <v>5</v>
      </c>
      <c r="D6" s="4"/>
      <c r="E6" s="4"/>
      <c r="F6" s="4"/>
      <c r="G6" s="4"/>
    </row>
    <row r="7" customFormat="false" ht="15" hidden="false" customHeight="false" outlineLevel="0" collapsed="false">
      <c r="B7" s="3" t="s">
        <v>6</v>
      </c>
      <c r="C7" s="5" t="n">
        <v>46276</v>
      </c>
      <c r="D7" s="5"/>
      <c r="E7" s="5"/>
      <c r="F7" s="5"/>
      <c r="G7" s="5"/>
    </row>
    <row r="8" customFormat="false" ht="15" hidden="false" customHeight="true" outlineLevel="0" collapsed="false">
      <c r="B8" s="3" t="s">
        <v>7</v>
      </c>
      <c r="C8" s="4" t="s">
        <v>8</v>
      </c>
      <c r="D8" s="4"/>
      <c r="E8" s="4"/>
      <c r="F8" s="4"/>
      <c r="G8" s="4"/>
    </row>
    <row r="9" customFormat="false" ht="30" hidden="false" customHeight="true" outlineLevel="0" collapsed="false">
      <c r="B9" s="3" t="s">
        <v>9</v>
      </c>
      <c r="C9" s="4" t="s">
        <v>10</v>
      </c>
      <c r="D9" s="4"/>
      <c r="E9" s="4"/>
      <c r="F9" s="4"/>
      <c r="G9" s="4"/>
    </row>
    <row r="10" customFormat="false" ht="30" hidden="false" customHeight="true" outlineLevel="0" collapsed="false">
      <c r="B10" s="3" t="s">
        <v>11</v>
      </c>
      <c r="C10" s="4" t="s">
        <v>12</v>
      </c>
      <c r="D10" s="4"/>
      <c r="E10" s="4"/>
      <c r="F10" s="4"/>
      <c r="G10" s="4"/>
    </row>
    <row r="11" customFormat="false" ht="30" hidden="false" customHeight="true" outlineLevel="0" collapsed="false">
      <c r="B11" s="3" t="s">
        <v>13</v>
      </c>
      <c r="C11" s="6" t="s">
        <v>14</v>
      </c>
      <c r="D11" s="6"/>
      <c r="E11" s="6"/>
      <c r="F11" s="6"/>
      <c r="G11" s="6"/>
    </row>
    <row r="13" customFormat="false" ht="19.5" hidden="false" customHeight="true" outlineLevel="0" collapsed="false">
      <c r="B13" s="7" t="s">
        <v>15</v>
      </c>
      <c r="C13" s="8"/>
      <c r="D13" s="8"/>
      <c r="E13" s="8"/>
      <c r="F13" s="8"/>
      <c r="G13" s="8"/>
    </row>
    <row r="14" customFormat="false" ht="43.5" hidden="false" customHeight="true" outlineLevel="0" collapsed="false">
      <c r="B14" s="9" t="s">
        <v>16</v>
      </c>
      <c r="C14" s="9"/>
      <c r="D14" s="9"/>
      <c r="E14" s="9"/>
      <c r="F14" s="9"/>
      <c r="G14" s="9"/>
    </row>
    <row r="16" customFormat="false" ht="19.5" hidden="false" customHeight="true" outlineLevel="0" collapsed="false">
      <c r="B16" s="7" t="s">
        <v>17</v>
      </c>
      <c r="C16" s="8"/>
      <c r="D16" s="8"/>
      <c r="E16" s="8"/>
      <c r="F16" s="8"/>
      <c r="G16" s="8"/>
    </row>
    <row r="17" customFormat="false" ht="15" hidden="false" customHeight="true" outlineLevel="0" collapsed="false">
      <c r="B17" s="10" t="s">
        <v>18</v>
      </c>
      <c r="C17" s="10" t="s">
        <v>19</v>
      </c>
      <c r="D17" s="10"/>
      <c r="E17" s="10"/>
      <c r="F17" s="10"/>
      <c r="G17" s="10"/>
    </row>
    <row r="18" customFormat="false" ht="31.5" hidden="false" customHeight="true" outlineLevel="0" collapsed="false">
      <c r="B18" s="11" t="s">
        <v>20</v>
      </c>
      <c r="C18" s="12" t="s">
        <v>21</v>
      </c>
      <c r="D18" s="12"/>
      <c r="E18" s="12"/>
      <c r="F18" s="12"/>
      <c r="G18" s="12"/>
    </row>
    <row r="19" customFormat="false" ht="18" hidden="false" customHeight="true" outlineLevel="0" collapsed="false">
      <c r="B19" s="11" t="s">
        <v>22</v>
      </c>
      <c r="C19" s="12" t="s">
        <v>23</v>
      </c>
      <c r="D19" s="12"/>
      <c r="E19" s="12"/>
      <c r="F19" s="12"/>
      <c r="G19" s="12"/>
    </row>
    <row r="20" customFormat="false" ht="18" hidden="false" customHeight="true" outlineLevel="0" collapsed="false">
      <c r="B20" s="11" t="s">
        <v>24</v>
      </c>
      <c r="C20" s="12" t="s">
        <v>25</v>
      </c>
      <c r="D20" s="12"/>
      <c r="E20" s="12"/>
      <c r="F20" s="12"/>
      <c r="G20" s="12"/>
    </row>
    <row r="22" customFormat="false" ht="19.5" hidden="false" customHeight="true" outlineLevel="0" collapsed="false">
      <c r="B22" s="7" t="s">
        <v>26</v>
      </c>
      <c r="C22" s="8"/>
      <c r="D22" s="8"/>
      <c r="E22" s="8"/>
      <c r="F22" s="8"/>
      <c r="G22" s="8"/>
    </row>
    <row r="23" customFormat="false" ht="15" hidden="false" customHeight="true" outlineLevel="0" collapsed="false">
      <c r="B23" s="10" t="s">
        <v>27</v>
      </c>
      <c r="C23" s="10" t="s">
        <v>19</v>
      </c>
      <c r="D23" s="10"/>
      <c r="E23" s="10"/>
      <c r="F23" s="10"/>
      <c r="G23" s="10"/>
    </row>
    <row r="24" customFormat="false" ht="18" hidden="false" customHeight="true" outlineLevel="0" collapsed="false">
      <c r="B24" s="13" t="s">
        <v>28</v>
      </c>
      <c r="C24" s="12" t="s">
        <v>29</v>
      </c>
      <c r="D24" s="12"/>
      <c r="E24" s="12"/>
      <c r="F24" s="12"/>
      <c r="G24" s="12"/>
    </row>
    <row r="25" customFormat="false" ht="18" hidden="false" customHeight="true" outlineLevel="0" collapsed="false">
      <c r="B25" s="14" t="s">
        <v>30</v>
      </c>
      <c r="C25" s="12" t="s">
        <v>31</v>
      </c>
      <c r="D25" s="12"/>
      <c r="E25" s="12"/>
      <c r="F25" s="12"/>
      <c r="G25" s="12"/>
    </row>
    <row r="26" customFormat="false" ht="18" hidden="false" customHeight="true" outlineLevel="0" collapsed="false">
      <c r="B26" s="15" t="s">
        <v>32</v>
      </c>
      <c r="C26" s="12" t="s">
        <v>33</v>
      </c>
      <c r="D26" s="12"/>
      <c r="E26" s="12"/>
      <c r="F26" s="12"/>
      <c r="G26" s="12"/>
    </row>
    <row r="27" customFormat="false" ht="18" hidden="false" customHeight="true" outlineLevel="0" collapsed="false">
      <c r="B27" s="16" t="s">
        <v>34</v>
      </c>
      <c r="C27" s="12" t="s">
        <v>35</v>
      </c>
      <c r="D27" s="12"/>
      <c r="E27" s="12"/>
      <c r="F27" s="12"/>
      <c r="G27" s="12"/>
    </row>
    <row r="28" customFormat="false" ht="18" hidden="false" customHeight="true" outlineLevel="0" collapsed="false">
      <c r="B28" s="17" t="s">
        <v>36</v>
      </c>
      <c r="C28" s="12" t="s">
        <v>37</v>
      </c>
      <c r="D28" s="12"/>
      <c r="E28" s="12"/>
      <c r="F28" s="12"/>
      <c r="G28" s="12"/>
    </row>
    <row r="29" customFormat="false" ht="18" hidden="false" customHeight="true" outlineLevel="0" collapsed="false">
      <c r="B29" s="18" t="s">
        <v>38</v>
      </c>
      <c r="C29" s="12" t="s">
        <v>39</v>
      </c>
      <c r="D29" s="12"/>
      <c r="E29" s="12"/>
      <c r="F29" s="12"/>
      <c r="G29" s="12"/>
    </row>
    <row r="30" customFormat="false" ht="18" hidden="false" customHeight="true" outlineLevel="0" collapsed="false">
      <c r="B30" s="19" t="s">
        <v>40</v>
      </c>
      <c r="C30" s="12" t="s">
        <v>41</v>
      </c>
      <c r="D30" s="12"/>
      <c r="E30" s="12"/>
      <c r="F30" s="12"/>
      <c r="G30" s="12"/>
    </row>
    <row r="32" customFormat="false" ht="19.5" hidden="false" customHeight="true" outlineLevel="0" collapsed="false">
      <c r="B32" s="7" t="s">
        <v>42</v>
      </c>
      <c r="C32" s="8"/>
      <c r="D32" s="8"/>
      <c r="E32" s="8"/>
      <c r="F32" s="8"/>
      <c r="G32" s="8"/>
    </row>
    <row r="33" customFormat="false" ht="18" hidden="false" customHeight="true" outlineLevel="0" collapsed="false">
      <c r="B33" s="9" t="s">
        <v>43</v>
      </c>
      <c r="C33" s="9"/>
      <c r="D33" s="9"/>
      <c r="E33" s="9"/>
      <c r="F33" s="9"/>
      <c r="G33" s="9"/>
    </row>
    <row r="34" customFormat="false" ht="18" hidden="false" customHeight="true" outlineLevel="0" collapsed="false">
      <c r="B34" s="9" t="s">
        <v>44</v>
      </c>
      <c r="C34" s="9"/>
      <c r="D34" s="9"/>
      <c r="E34" s="9"/>
      <c r="F34" s="9"/>
      <c r="G34" s="9"/>
    </row>
    <row r="35" customFormat="false" ht="18" hidden="false" customHeight="true" outlineLevel="0" collapsed="false">
      <c r="B35" s="9" t="s">
        <v>45</v>
      </c>
      <c r="C35" s="9"/>
      <c r="D35" s="9"/>
      <c r="E35" s="9"/>
      <c r="F35" s="9"/>
      <c r="G35" s="9"/>
    </row>
    <row r="36" customFormat="false" ht="18" hidden="false" customHeight="true" outlineLevel="0" collapsed="false">
      <c r="B36" s="9" t="s">
        <v>46</v>
      </c>
      <c r="C36" s="9"/>
      <c r="D36" s="9"/>
      <c r="E36" s="9"/>
      <c r="F36" s="9"/>
      <c r="G36" s="9"/>
    </row>
    <row r="37" customFormat="false" ht="18" hidden="false" customHeight="true" outlineLevel="0" collapsed="false">
      <c r="B37" s="9" t="s">
        <v>47</v>
      </c>
      <c r="C37" s="9"/>
      <c r="D37" s="9"/>
      <c r="E37" s="9"/>
      <c r="F37" s="9"/>
      <c r="G37" s="9"/>
    </row>
    <row r="39" customFormat="false" ht="19.5" hidden="false" customHeight="true" outlineLevel="0" collapsed="false">
      <c r="B39" s="7" t="s">
        <v>48</v>
      </c>
      <c r="C39" s="8"/>
      <c r="D39" s="8"/>
      <c r="E39" s="8"/>
      <c r="F39" s="8"/>
      <c r="G39" s="8"/>
    </row>
    <row r="40" customFormat="false" ht="30" hidden="false" customHeight="true" outlineLevel="0" collapsed="false">
      <c r="B40" s="9" t="s">
        <v>49</v>
      </c>
      <c r="C40" s="9"/>
      <c r="D40" s="9"/>
      <c r="E40" s="9"/>
      <c r="F40" s="9"/>
      <c r="G40" s="9"/>
    </row>
    <row r="41" customFormat="false" ht="30" hidden="false" customHeight="true" outlineLevel="0" collapsed="false">
      <c r="B41" s="9" t="s">
        <v>50</v>
      </c>
      <c r="C41" s="9"/>
      <c r="D41" s="9"/>
      <c r="E41" s="9"/>
      <c r="F41" s="9"/>
      <c r="G41" s="9"/>
    </row>
    <row r="42" customFormat="false" ht="18" hidden="false" customHeight="true" outlineLevel="0" collapsed="false">
      <c r="B42" s="9" t="s">
        <v>51</v>
      </c>
      <c r="C42" s="9"/>
      <c r="D42" s="9"/>
      <c r="E42" s="9"/>
      <c r="F42" s="9"/>
      <c r="G42" s="9"/>
    </row>
    <row r="44" customFormat="false" ht="19.5" hidden="false" customHeight="true" outlineLevel="0" collapsed="false">
      <c r="B44" s="7" t="s">
        <v>52</v>
      </c>
      <c r="C44" s="8"/>
      <c r="D44" s="8"/>
      <c r="E44" s="8"/>
      <c r="F44" s="8"/>
      <c r="G44" s="8"/>
    </row>
    <row r="45" customFormat="false" ht="15" hidden="false" customHeight="true" outlineLevel="0" collapsed="false">
      <c r="B45" s="10" t="s">
        <v>4</v>
      </c>
      <c r="C45" s="10" t="s">
        <v>53</v>
      </c>
      <c r="D45" s="10" t="s">
        <v>54</v>
      </c>
      <c r="E45" s="10" t="s">
        <v>55</v>
      </c>
      <c r="F45" s="10"/>
      <c r="G45" s="10"/>
    </row>
    <row r="46" customFormat="false" ht="43.5" hidden="false" customHeight="true" outlineLevel="0" collapsed="false">
      <c r="B46" s="20" t="s">
        <v>56</v>
      </c>
      <c r="C46" s="21" t="n">
        <v>46276</v>
      </c>
      <c r="D46" s="20" t="s">
        <v>57</v>
      </c>
      <c r="E46" s="12" t="s">
        <v>58</v>
      </c>
      <c r="F46" s="12"/>
      <c r="G46" s="12"/>
    </row>
    <row r="47" customFormat="false" ht="43.5" hidden="false" customHeight="true" outlineLevel="0" collapsed="false">
      <c r="B47" s="20" t="s">
        <v>5</v>
      </c>
      <c r="C47" s="21" t="n">
        <v>46276</v>
      </c>
      <c r="D47" s="20" t="s">
        <v>57</v>
      </c>
      <c r="E47" s="12" t="s">
        <v>59</v>
      </c>
      <c r="F47" s="12"/>
      <c r="G47" s="12"/>
    </row>
  </sheetData>
  <mergeCells count="31">
    <mergeCell ref="C5:G5"/>
    <mergeCell ref="C6:G6"/>
    <mergeCell ref="C7:G7"/>
    <mergeCell ref="C8:G8"/>
    <mergeCell ref="C9:G9"/>
    <mergeCell ref="C10:G10"/>
    <mergeCell ref="C11:G11"/>
    <mergeCell ref="B14:G14"/>
    <mergeCell ref="C17:G17"/>
    <mergeCell ref="C18:G18"/>
    <mergeCell ref="C19:G19"/>
    <mergeCell ref="C20:G20"/>
    <mergeCell ref="C23:G23"/>
    <mergeCell ref="C24:G24"/>
    <mergeCell ref="C25:G25"/>
    <mergeCell ref="C26:G26"/>
    <mergeCell ref="C27:G27"/>
    <mergeCell ref="C28:G28"/>
    <mergeCell ref="C29:G29"/>
    <mergeCell ref="C30:G30"/>
    <mergeCell ref="B33:G33"/>
    <mergeCell ref="B34:G34"/>
    <mergeCell ref="B35:G35"/>
    <mergeCell ref="B36:G36"/>
    <mergeCell ref="B37:G37"/>
    <mergeCell ref="B40:G40"/>
    <mergeCell ref="B41:G41"/>
    <mergeCell ref="B42:G42"/>
    <mergeCell ref="E45:G45"/>
    <mergeCell ref="E46:G46"/>
    <mergeCell ref="E47:G4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I4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8" min="3" style="0" width="11"/>
    <col collapsed="false" customWidth="true" hidden="false" outlineLevel="0" max="9" min="9" style="0" width="12"/>
    <col collapsed="false" customWidth="true" hidden="false" outlineLevel="0" max="10" min="10" style="0" width="4"/>
  </cols>
  <sheetData>
    <row r="1" customFormat="false" ht="22.05" hidden="false" customHeight="false" outlineLevel="0" collapsed="false">
      <c r="B1" s="22" t="s">
        <v>60</v>
      </c>
    </row>
    <row r="2" customFormat="false" ht="15" hidden="false" customHeight="false" outlineLevel="0" collapsed="false">
      <c r="B2" s="23" t="s">
        <v>61</v>
      </c>
    </row>
    <row r="3" customFormat="false" ht="15" hidden="false" customHeight="false" outlineLevel="0" collapsed="false">
      <c r="B3" s="24" t="str">
        <f aca="false">"Reporting date: "&amp;TEXT(Cover!$C$7,"DD-MMM-YYYY")</f>
        <v>Reporting date: 11-Sep-2026</v>
      </c>
    </row>
    <row r="5" customFormat="false" ht="19.5" hidden="false" customHeight="true" outlineLevel="0" collapsed="false">
      <c r="B5" s="7" t="s">
        <v>62</v>
      </c>
      <c r="C5" s="8"/>
      <c r="D5" s="8"/>
      <c r="E5" s="8"/>
      <c r="F5" s="8"/>
      <c r="G5" s="8"/>
      <c r="H5" s="8"/>
      <c r="I5" s="8"/>
    </row>
    <row r="6" customFormat="false" ht="30" hidden="false" customHeight="true" outlineLevel="0" collapsed="false">
      <c r="B6" s="10" t="s">
        <v>63</v>
      </c>
      <c r="C6" s="10" t="s">
        <v>20</v>
      </c>
      <c r="D6" s="10" t="s">
        <v>22</v>
      </c>
      <c r="E6" s="10" t="s">
        <v>24</v>
      </c>
      <c r="F6" s="10" t="s">
        <v>64</v>
      </c>
      <c r="G6" s="10" t="s">
        <v>40</v>
      </c>
      <c r="H6" s="10" t="s">
        <v>65</v>
      </c>
      <c r="I6" s="10" t="s">
        <v>66</v>
      </c>
    </row>
    <row r="7" customFormat="false" ht="30" hidden="false" customHeight="true" outlineLevel="0" collapsed="false">
      <c r="B7" s="25" t="n">
        <f aca="false">COUNTA(Initiatives!$A$5:$A$60)</f>
        <v>30</v>
      </c>
      <c r="C7" s="25" t="n">
        <f aca="false">COUNTIFS(Initiatives!$K$5:$K$60,"Now")</f>
        <v>6</v>
      </c>
      <c r="D7" s="25" t="n">
        <f aca="false">COUNTIFS(Initiatives!$K$5:$K$60,"Next")</f>
        <v>15</v>
      </c>
      <c r="E7" s="25" t="n">
        <f aca="false">COUNTIFS(Initiatives!$K$5:$K$60,"Later")</f>
        <v>9</v>
      </c>
      <c r="F7" s="25" t="n">
        <f aca="false">COUNTIFS(Initiatives!$L$5:$L$60,"In progress")+COUNTIFS(Initiatives!$L$5:$L$60,"Committed")</f>
        <v>6</v>
      </c>
      <c r="G7" s="26" t="n">
        <f aca="false">COUNTIFS(Initiatives!$L$5:$L$60,"Pending decision")</f>
        <v>1</v>
      </c>
      <c r="H7" s="26" t="n">
        <f aca="false">COUNTIFS(Initiatives!$M$5:$M$60,"Low")</f>
        <v>14</v>
      </c>
      <c r="I7" s="26" t="n">
        <f aca="false">COUNTIFS(Initiatives!$L$5:$L$60,"Idea")</f>
        <v>9</v>
      </c>
    </row>
    <row r="9" customFormat="false" ht="19.5" hidden="false" customHeight="true" outlineLevel="0" collapsed="false">
      <c r="B9" s="7" t="s">
        <v>67</v>
      </c>
      <c r="C9" s="8"/>
      <c r="D9" s="8"/>
      <c r="E9" s="8"/>
      <c r="F9" s="8"/>
      <c r="G9" s="8"/>
      <c r="H9" s="8"/>
      <c r="I9" s="8"/>
    </row>
    <row r="10" customFormat="false" ht="30" hidden="false" customHeight="true" outlineLevel="0" collapsed="false">
      <c r="B10" s="10" t="s">
        <v>68</v>
      </c>
      <c r="C10" s="10" t="s">
        <v>20</v>
      </c>
      <c r="D10" s="10" t="s">
        <v>22</v>
      </c>
      <c r="E10" s="10" t="s">
        <v>24</v>
      </c>
      <c r="F10" s="10" t="s">
        <v>69</v>
      </c>
      <c r="G10" s="10" t="s">
        <v>70</v>
      </c>
      <c r="H10" s="10"/>
      <c r="I10" s="10"/>
    </row>
    <row r="11" customFormat="false" ht="21.75" hidden="false" customHeight="true" outlineLevel="0" collapsed="false">
      <c r="B11" s="27" t="str">
        <f aca="false">'Themes &amp; Outcomes'!B5</f>
        <v>Launch the MVP</v>
      </c>
      <c r="C11" s="28" t="n">
        <f aca="false">'Themes &amp; Outcomes'!G5</f>
        <v>3</v>
      </c>
      <c r="D11" s="28" t="n">
        <f aca="false">'Themes &amp; Outcomes'!H5</f>
        <v>0</v>
      </c>
      <c r="E11" s="28" t="n">
        <f aca="false">'Themes &amp; Outcomes'!I5</f>
        <v>0</v>
      </c>
      <c r="F11" s="29" t="n">
        <f aca="false">'Themes &amp; Outcomes'!F5</f>
        <v>3</v>
      </c>
      <c r="G11" s="30" t="str">
        <f aca="false">'Themes &amp; Outcomes'!E5</f>
        <v>Product Owner</v>
      </c>
      <c r="H11" s="30"/>
      <c r="I11" s="30"/>
    </row>
    <row r="12" customFormat="false" ht="21.75" hidden="false" customHeight="true" outlineLevel="0" collapsed="false">
      <c r="B12" s="27" t="str">
        <f aca="false">'Themes &amp; Outcomes'!B6</f>
        <v>Merchant adoption and rollout</v>
      </c>
      <c r="C12" s="28" t="n">
        <f aca="false">'Themes &amp; Outcomes'!G6</f>
        <v>0</v>
      </c>
      <c r="D12" s="28" t="n">
        <f aca="false">'Themes &amp; Outcomes'!H6</f>
        <v>5</v>
      </c>
      <c r="E12" s="28" t="n">
        <f aca="false">'Themes &amp; Outcomes'!I6</f>
        <v>1</v>
      </c>
      <c r="F12" s="29" t="n">
        <f aca="false">'Themes &amp; Outcomes'!F6</f>
        <v>6</v>
      </c>
      <c r="G12" s="30" t="str">
        <f aca="false">'Themes &amp; Outcomes'!E6</f>
        <v>Merchant Relationship Lead</v>
      </c>
      <c r="H12" s="30"/>
      <c r="I12" s="30"/>
    </row>
    <row r="13" customFormat="false" ht="21.75" hidden="false" customHeight="true" outlineLevel="0" collapsed="false">
      <c r="B13" s="27" t="str">
        <f aca="false">'Themes &amp; Outcomes'!B7</f>
        <v>Help merchants win more disputes</v>
      </c>
      <c r="C13" s="28" t="n">
        <f aca="false">'Themes &amp; Outcomes'!G7</f>
        <v>0</v>
      </c>
      <c r="D13" s="28" t="n">
        <f aca="false">'Themes &amp; Outcomes'!H7</f>
        <v>5</v>
      </c>
      <c r="E13" s="28" t="n">
        <f aca="false">'Themes &amp; Outcomes'!I7</f>
        <v>3</v>
      </c>
      <c r="F13" s="29" t="n">
        <f aca="false">'Themes &amp; Outcomes'!F7</f>
        <v>8</v>
      </c>
      <c r="G13" s="30" t="str">
        <f aca="false">'Themes &amp; Outcomes'!E7</f>
        <v>Product Owner</v>
      </c>
      <c r="H13" s="30"/>
      <c r="I13" s="30"/>
    </row>
    <row r="14" customFormat="false" ht="21.75" hidden="false" customHeight="true" outlineLevel="0" collapsed="false">
      <c r="B14" s="27" t="str">
        <f aca="false">'Themes &amp; Outcomes'!B8</f>
        <v>Ops efficiency</v>
      </c>
      <c r="C14" s="28" t="n">
        <f aca="false">'Themes &amp; Outcomes'!G8</f>
        <v>1</v>
      </c>
      <c r="D14" s="28" t="n">
        <f aca="false">'Themes &amp; Outcomes'!H8</f>
        <v>3</v>
      </c>
      <c r="E14" s="28" t="n">
        <f aca="false">'Themes &amp; Outcomes'!I8</f>
        <v>1</v>
      </c>
      <c r="F14" s="29" t="n">
        <f aca="false">'Themes &amp; Outcomes'!F8</f>
        <v>5</v>
      </c>
      <c r="G14" s="30" t="str">
        <f aca="false">'Themes &amp; Outcomes'!E8</f>
        <v>Dispute Ops Lead</v>
      </c>
      <c r="H14" s="30"/>
      <c r="I14" s="30"/>
    </row>
    <row r="15" customFormat="false" ht="21.75" hidden="false" customHeight="true" outlineLevel="0" collapsed="false">
      <c r="B15" s="27" t="str">
        <f aca="false">'Themes &amp; Outcomes'!B9</f>
        <v>Trust, compliance and data</v>
      </c>
      <c r="C15" s="28" t="n">
        <f aca="false">'Themes &amp; Outcomes'!G9</f>
        <v>2</v>
      </c>
      <c r="D15" s="28" t="n">
        <f aca="false">'Themes &amp; Outcomes'!H9</f>
        <v>2</v>
      </c>
      <c r="E15" s="28" t="n">
        <f aca="false">'Themes &amp; Outcomes'!I9</f>
        <v>0</v>
      </c>
      <c r="F15" s="29" t="n">
        <f aca="false">'Themes &amp; Outcomes'!F9</f>
        <v>4</v>
      </c>
      <c r="G15" s="30" t="str">
        <f aca="false">'Themes &amp; Outcomes'!E9</f>
        <v>Compliance Lead</v>
      </c>
      <c r="H15" s="30"/>
      <c r="I15" s="30"/>
    </row>
    <row r="16" customFormat="false" ht="21.75" hidden="false" customHeight="true" outlineLevel="0" collapsed="false">
      <c r="B16" s="27" t="str">
        <f aca="false">'Themes &amp; Outcomes'!B10</f>
        <v>Expansion</v>
      </c>
      <c r="C16" s="28" t="n">
        <f aca="false">'Themes &amp; Outcomes'!G10</f>
        <v>0</v>
      </c>
      <c r="D16" s="28" t="n">
        <f aca="false">'Themes &amp; Outcomes'!H10</f>
        <v>0</v>
      </c>
      <c r="E16" s="28" t="n">
        <f aca="false">'Themes &amp; Outcomes'!I10</f>
        <v>4</v>
      </c>
      <c r="F16" s="29" t="n">
        <f aca="false">'Themes &amp; Outcomes'!F10</f>
        <v>4</v>
      </c>
      <c r="G16" s="30" t="str">
        <f aca="false">'Themes &amp; Outcomes'!E10</f>
        <v>Business Sponsor</v>
      </c>
      <c r="H16" s="30"/>
      <c r="I16" s="30"/>
    </row>
    <row r="32" customFormat="false" ht="19.5" hidden="false" customHeight="true" outlineLevel="0" collapsed="false">
      <c r="B32" s="7" t="s">
        <v>71</v>
      </c>
      <c r="C32" s="8"/>
      <c r="D32" s="8"/>
      <c r="E32" s="8"/>
      <c r="F32" s="8"/>
      <c r="G32" s="8"/>
      <c r="H32" s="8"/>
      <c r="I32" s="8"/>
    </row>
    <row r="33" customFormat="false" ht="30" hidden="false" customHeight="true" outlineLevel="0" collapsed="false">
      <c r="B33" s="10" t="s">
        <v>72</v>
      </c>
      <c r="C33" s="10" t="s">
        <v>53</v>
      </c>
      <c r="D33" s="10"/>
      <c r="E33" s="10" t="s">
        <v>73</v>
      </c>
      <c r="F33" s="10" t="s">
        <v>70</v>
      </c>
      <c r="G33" s="10"/>
      <c r="H33" s="10" t="s">
        <v>74</v>
      </c>
      <c r="I33" s="10"/>
    </row>
    <row r="34" customFormat="false" ht="30" hidden="false" customHeight="true" outlineLevel="0" collapsed="false">
      <c r="B34" s="11" t="str">
        <f aca="false">IFERROR(INDEX(Milestones!$B$5:$B$40,MATCH(SMALL(Milestones!$I$5:$I$40,1),Milestones!$I$5:$I$40,0)),"")</f>
        <v>CR-05 outcome definitions decision</v>
      </c>
      <c r="C34" s="21" t="n">
        <f aca="false">IFERROR(INDEX(Milestones!$C$5:$C$40,MATCH(SMALL(Milestones!$I$5:$I$40,1),Milestones!$I$5:$I$40,0)),"")</f>
        <v>46283</v>
      </c>
      <c r="D34" s="21"/>
      <c r="E34" s="20" t="str">
        <f aca="false">IFERROR(INDEX(Milestones!$D$5:$D$40,MATCH(SMALL(Milestones!$I$5:$I$40,1),Milestones!$I$5:$I$40,0)),"")</f>
        <v>Decision</v>
      </c>
      <c r="F34" s="12" t="str">
        <f aca="false">IFERROR(INDEX(Milestones!$E$5:$E$40,MATCH(SMALL(Milestones!$I$5:$I$40,1),Milestones!$I$5:$I$40,0)),"")</f>
        <v>Business Sponsor</v>
      </c>
      <c r="G34" s="12"/>
      <c r="H34" s="20" t="n">
        <f aca="false">IFERROR(INDEX(Milestones!$G$5:$G$40,MATCH(SMALL(Milestones!$I$5:$I$40,1),Milestones!$I$5:$I$40,0)),"")</f>
        <v>7</v>
      </c>
    </row>
    <row r="35" customFormat="false" ht="30" hidden="false" customHeight="true" outlineLevel="0" collapsed="false">
      <c r="B35" s="11" t="str">
        <f aca="false">IFERROR(INDEX(Milestones!$B$5:$B$40,MATCH(SMALL(Milestones!$I$5:$I$40,2),Milestones!$I$5:$I$40,0)),"")</f>
        <v>Steering committee: CR-01 scope and CR-06 UAT approach</v>
      </c>
      <c r="C35" s="21" t="n">
        <f aca="false">IFERROR(INDEX(Milestones!$C$5:$C$40,MATCH(SMALL(Milestones!$I$5:$I$40,2),Milestones!$I$5:$I$40,0)),"")</f>
        <v>46289</v>
      </c>
      <c r="D35" s="21"/>
      <c r="E35" s="20" t="str">
        <f aca="false">IFERROR(INDEX(Milestones!$D$5:$D$40,MATCH(SMALL(Milestones!$I$5:$I$40,2),Milestones!$I$5:$I$40,0)),"")</f>
        <v>Decision</v>
      </c>
      <c r="F35" s="12" t="str">
        <f aca="false">IFERROR(INDEX(Milestones!$E$5:$E$40,MATCH(SMALL(Milestones!$I$5:$I$40,2),Milestones!$I$5:$I$40,0)),"")</f>
        <v>Steering Committee</v>
      </c>
      <c r="G35" s="12"/>
      <c r="H35" s="20" t="n">
        <f aca="false">IFERROR(INDEX(Milestones!$G$5:$G$40,MATCH(SMALL(Milestones!$I$5:$I$40,2),Milestones!$I$5:$I$40,0)),"")</f>
        <v>13</v>
      </c>
    </row>
    <row r="36" customFormat="false" ht="30" hidden="false" customHeight="true" outlineLevel="0" collapsed="false">
      <c r="B36" s="11" t="str">
        <f aca="false">IFERROR(INDEX(Milestones!$B$5:$B$40,MATCH(SMALL(Milestones!$I$5:$I$40,3),Milestones!$I$5:$I$40,0)),"")</f>
        <v>Penetration test (committed date)</v>
      </c>
      <c r="C36" s="21" t="n">
        <f aca="false">IFERROR(INDEX(Milestones!$C$5:$C$40,MATCH(SMALL(Milestones!$I$5:$I$40,3),Milestones!$I$5:$I$40,0)),"")</f>
        <v>46339</v>
      </c>
      <c r="D36" s="21"/>
      <c r="E36" s="20" t="str">
        <f aca="false">IFERROR(INDEX(Milestones!$D$5:$D$40,MATCH(SMALL(Milestones!$I$5:$I$40,3),Milestones!$I$5:$I$40,0)),"")</f>
        <v>Dependency</v>
      </c>
      <c r="F36" s="12" t="str">
        <f aca="false">IFERROR(INDEX(Milestones!$E$5:$E$40,MATCH(SMALL(Milestones!$I$5:$I$40,3),Milestones!$I$5:$I$40,0)),"")</f>
        <v>InfoSec Lead</v>
      </c>
      <c r="G36" s="12"/>
      <c r="H36" s="20" t="n">
        <f aca="false">IFERROR(INDEX(Milestones!$G$5:$G$40,MATCH(SMALL(Milestones!$I$5:$I$40,3),Milestones!$I$5:$I$40,0)),"")</f>
        <v>63</v>
      </c>
    </row>
    <row r="37" customFormat="false" ht="30" hidden="false" customHeight="true" outlineLevel="0" collapsed="false">
      <c r="B37" s="11" t="str">
        <f aca="false">IFERROR(INDEX(Milestones!$B$5:$B$40,MATCH(SMALL(Milestones!$I$5:$I$40,4),Milestones!$I$5:$I$40,0)),"")</f>
        <v>Go-live go / no-go</v>
      </c>
      <c r="C37" s="21" t="n">
        <f aca="false">IFERROR(INDEX(Milestones!$C$5:$C$40,MATCH(SMALL(Milestones!$I$5:$I$40,4),Milestones!$I$5:$I$40,0)),"")</f>
        <v>46360</v>
      </c>
      <c r="D37" s="21"/>
      <c r="E37" s="20" t="str">
        <f aca="false">IFERROR(INDEX(Milestones!$D$5:$D$40,MATCH(SMALL(Milestones!$I$5:$I$40,4),Milestones!$I$5:$I$40,0)),"")</f>
        <v>Gate</v>
      </c>
      <c r="F37" s="12" t="str">
        <f aca="false">IFERROR(INDEX(Milestones!$E$5:$E$40,MATCH(SMALL(Milestones!$I$5:$I$40,4),Milestones!$I$5:$I$40,0)),"")</f>
        <v>Steering Committee</v>
      </c>
      <c r="G37" s="12"/>
      <c r="H37" s="20" t="n">
        <f aca="false">IFERROR(INDEX(Milestones!$G$5:$G$40,MATCH(SMALL(Milestones!$I$5:$I$40,4),Milestones!$I$5:$I$40,0)),"")</f>
        <v>84</v>
      </c>
    </row>
    <row r="38" customFormat="false" ht="30" hidden="false" customHeight="true" outlineLevel="0" collapsed="false">
      <c r="B38" s="11" t="str">
        <f aca="false">IFERROR(INDEX(Milestones!$B$5:$B$40,MATCH(SMALL(Milestones!$I$5:$I$40,5),Milestones!$I$5:$I$40,0)),"")</f>
        <v>MVP go-live</v>
      </c>
      <c r="C38" s="21" t="n">
        <f aca="false">IFERROR(INDEX(Milestones!$C$5:$C$40,MATCH(SMALL(Milestones!$I$5:$I$40,5),Milestones!$I$5:$I$40,0)),"")</f>
        <v>46367</v>
      </c>
      <c r="D38" s="21"/>
      <c r="E38" s="20" t="str">
        <f aca="false">IFERROR(INDEX(Milestones!$D$5:$D$40,MATCH(SMALL(Milestones!$I$5:$I$40,5),Milestones!$I$5:$I$40,0)),"")</f>
        <v>Launch</v>
      </c>
      <c r="F38" s="12" t="str">
        <f aca="false">IFERROR(INDEX(Milestones!$E$5:$E$40,MATCH(SMALL(Milestones!$I$5:$I$40,5),Milestones!$I$5:$I$40,0)),"")</f>
        <v>Product Owner</v>
      </c>
      <c r="G38" s="12"/>
      <c r="H38" s="20" t="n">
        <f aca="false">IFERROR(INDEX(Milestones!$G$5:$G$40,MATCH(SMALL(Milestones!$I$5:$I$40,5),Milestones!$I$5:$I$40,0)),"")</f>
        <v>91</v>
      </c>
    </row>
    <row r="39" customFormat="false" ht="30" hidden="false" customHeight="true" outlineLevel="0" collapsed="false">
      <c r="B39" s="11" t="str">
        <f aca="false">IFERROR(INDEX(Milestones!$B$5:$B$40,MATCH(SMALL(Milestones!$I$5:$I$40,6),Milestones!$I$5:$I$40,0)),"")</f>
        <v>Hypercare exit review</v>
      </c>
      <c r="C39" s="21" t="n">
        <f aca="false">IFERROR(INDEX(Milestones!$C$5:$C$40,MATCH(SMALL(Milestones!$I$5:$I$40,6),Milestones!$I$5:$I$40,0)),"")</f>
        <v>46409</v>
      </c>
      <c r="D39" s="21"/>
      <c r="E39" s="20" t="str">
        <f aca="false">IFERROR(INDEX(Milestones!$D$5:$D$40,MATCH(SMALL(Milestones!$I$5:$I$40,6),Milestones!$I$5:$I$40,0)),"")</f>
        <v>Gate</v>
      </c>
      <c r="F39" s="12" t="str">
        <f aca="false">IFERROR(INDEX(Milestones!$E$5:$E$40,MATCH(SMALL(Milestones!$I$5:$I$40,6),Milestones!$I$5:$I$40,0)),"")</f>
        <v>Tech Lead</v>
      </c>
      <c r="G39" s="12"/>
      <c r="H39" s="20" t="n">
        <f aca="false">IFERROR(INDEX(Milestones!$G$5:$G$40,MATCH(SMALL(Milestones!$I$5:$I$40,6),Milestones!$I$5:$I$40,0)),"")</f>
        <v>133</v>
      </c>
    </row>
    <row r="41" customFormat="false" ht="19.5" hidden="false" customHeight="true" outlineLevel="0" collapsed="false">
      <c r="B41" s="7" t="s">
        <v>75</v>
      </c>
      <c r="C41" s="8"/>
      <c r="D41" s="8"/>
      <c r="E41" s="8"/>
      <c r="F41" s="8"/>
      <c r="G41" s="8"/>
      <c r="H41" s="8"/>
      <c r="I41" s="8"/>
    </row>
    <row r="42" customFormat="false" ht="30" hidden="false" customHeight="true" outlineLevel="0" collapsed="false">
      <c r="B42" s="10" t="s">
        <v>76</v>
      </c>
      <c r="C42" s="10" t="s">
        <v>77</v>
      </c>
      <c r="D42" s="10"/>
      <c r="E42" s="10"/>
      <c r="F42" s="10"/>
      <c r="G42" s="10"/>
      <c r="H42" s="10"/>
      <c r="I42" s="10"/>
    </row>
    <row r="43" customFormat="false" ht="30" hidden="false" customHeight="true" outlineLevel="0" collapsed="false">
      <c r="B43" s="11" t="s">
        <v>78</v>
      </c>
      <c r="C43" s="12" t="s">
        <v>79</v>
      </c>
      <c r="D43" s="12"/>
      <c r="E43" s="12"/>
      <c r="F43" s="12"/>
      <c r="G43" s="12"/>
      <c r="H43" s="12"/>
      <c r="I43" s="12"/>
    </row>
    <row r="44" customFormat="false" ht="30" hidden="false" customHeight="true" outlineLevel="0" collapsed="false">
      <c r="B44" s="11" t="s">
        <v>80</v>
      </c>
      <c r="C44" s="12" t="s">
        <v>81</v>
      </c>
      <c r="D44" s="12"/>
      <c r="E44" s="12"/>
      <c r="F44" s="12"/>
      <c r="G44" s="12"/>
      <c r="H44" s="12"/>
      <c r="I44" s="12"/>
    </row>
    <row r="45" customFormat="false" ht="30" hidden="false" customHeight="true" outlineLevel="0" collapsed="false">
      <c r="B45" s="11" t="s">
        <v>82</v>
      </c>
      <c r="C45" s="12" t="s">
        <v>83</v>
      </c>
      <c r="D45" s="12"/>
      <c r="E45" s="12"/>
      <c r="F45" s="12"/>
      <c r="G45" s="12"/>
      <c r="H45" s="12"/>
      <c r="I45" s="12"/>
    </row>
    <row r="46" customFormat="false" ht="30" hidden="false" customHeight="true" outlineLevel="0" collapsed="false">
      <c r="B46" s="11" t="s">
        <v>84</v>
      </c>
      <c r="C46" s="12" t="s">
        <v>85</v>
      </c>
      <c r="D46" s="12"/>
      <c r="E46" s="12"/>
      <c r="F46" s="12"/>
      <c r="G46" s="12"/>
      <c r="H46" s="12"/>
      <c r="I46" s="12"/>
    </row>
    <row r="47" customFormat="false" ht="30" hidden="false" customHeight="true" outlineLevel="0" collapsed="false">
      <c r="B47" s="11" t="s">
        <v>86</v>
      </c>
      <c r="C47" s="12" t="s">
        <v>87</v>
      </c>
      <c r="D47" s="12"/>
      <c r="E47" s="12"/>
      <c r="F47" s="12"/>
      <c r="G47" s="12"/>
      <c r="H47" s="12"/>
      <c r="I47" s="12"/>
    </row>
  </sheetData>
  <mergeCells count="27">
    <mergeCell ref="G10:I10"/>
    <mergeCell ref="G11:I11"/>
    <mergeCell ref="G12:I12"/>
    <mergeCell ref="G13:I13"/>
    <mergeCell ref="G14:I14"/>
    <mergeCell ref="G15:I15"/>
    <mergeCell ref="G16:I16"/>
    <mergeCell ref="C33:D33"/>
    <mergeCell ref="F33:G33"/>
    <mergeCell ref="C34:D34"/>
    <mergeCell ref="F34:G34"/>
    <mergeCell ref="C35:D35"/>
    <mergeCell ref="F35:G35"/>
    <mergeCell ref="C36:D36"/>
    <mergeCell ref="F36:G36"/>
    <mergeCell ref="C37:D37"/>
    <mergeCell ref="F37:G37"/>
    <mergeCell ref="C38:D38"/>
    <mergeCell ref="F38:G38"/>
    <mergeCell ref="C39:D39"/>
    <mergeCell ref="F39:G39"/>
    <mergeCell ref="C42:I42"/>
    <mergeCell ref="C43:I43"/>
    <mergeCell ref="C44:I44"/>
    <mergeCell ref="C45:I45"/>
    <mergeCell ref="C46:I46"/>
    <mergeCell ref="C47:I47"/>
  </mergeCells>
  <conditionalFormatting sqref="E34:E39">
    <cfRule type="cellIs" priority="2" operator="equal" aboveAverage="0" equalAverage="0" bottom="0" percent="0" rank="0" text="" dxfId="0">
      <formula>"Gate"</formula>
    </cfRule>
    <cfRule type="cellIs" priority="3" operator="equal" aboveAverage="0" equalAverage="0" bottom="0" percent="0" rank="0" text="" dxfId="1">
      <formula>"Decision"</formula>
    </cfRule>
    <cfRule type="cellIs" priority="4" operator="equal" aboveAverage="0" equalAverage="0" bottom="0" percent="0" rank="0" text="" dxfId="2">
      <formula>"Launch"</formula>
    </cfRule>
    <cfRule type="cellIs" priority="5" operator="equal" aboveAverage="0" equalAverage="0" bottom="0" percent="0" rank="0" text="" dxfId="3">
      <formula>"Dependency"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I6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5" ySplit="7" topLeftCell="F8" activePane="bottomRight" state="frozen"/>
      <selection pane="topLeft" activeCell="A1" activeCellId="0" sqref="A1"/>
      <selection pane="topRight" activeCell="F1" activeCellId="0" sqref="F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34"/>
    <col collapsed="false" customWidth="true" hidden="false" outlineLevel="0" max="3" min="3" style="0" width="13"/>
    <col collapsed="false" customWidth="true" hidden="false" outlineLevel="0" max="5" min="4" style="0" width="11"/>
    <col collapsed="false" customWidth="true" hidden="false" outlineLevel="0" max="35" min="6" style="0" width="3.61"/>
  </cols>
  <sheetData>
    <row r="1" customFormat="false" ht="19.7" hidden="false" customHeight="false" outlineLevel="0" collapsed="false">
      <c r="A1" s="31" t="s">
        <v>88</v>
      </c>
    </row>
    <row r="2" customFormat="false" ht="15" hidden="false" customHeight="false" outlineLevel="0" collapsed="false">
      <c r="A2" s="23" t="s">
        <v>89</v>
      </c>
    </row>
    <row r="3" customFormat="false" ht="19.5" hidden="false" customHeight="true" outlineLevel="0" collapsed="false">
      <c r="B3" s="32" t="s">
        <v>90</v>
      </c>
      <c r="C3" s="33" t="s">
        <v>28</v>
      </c>
      <c r="D3" s="34" t="s">
        <v>30</v>
      </c>
      <c r="E3" s="35" t="s">
        <v>32</v>
      </c>
      <c r="F3" s="36" t="s">
        <v>34</v>
      </c>
      <c r="G3" s="36"/>
      <c r="H3" s="36"/>
      <c r="I3" s="36"/>
      <c r="J3" s="37" t="s">
        <v>36</v>
      </c>
      <c r="K3" s="37"/>
      <c r="L3" s="37"/>
      <c r="M3" s="37"/>
      <c r="N3" s="38" t="s">
        <v>38</v>
      </c>
      <c r="O3" s="38"/>
      <c r="P3" s="38"/>
      <c r="Q3" s="38"/>
      <c r="R3" s="39" t="s">
        <v>40</v>
      </c>
      <c r="S3" s="39"/>
      <c r="T3" s="39"/>
      <c r="U3" s="39"/>
      <c r="V3" s="40" t="s">
        <v>91</v>
      </c>
      <c r="W3" s="40"/>
      <c r="X3" s="40"/>
      <c r="Y3" s="40"/>
      <c r="Z3" s="41" t="s">
        <v>92</v>
      </c>
      <c r="AA3" s="41"/>
      <c r="AB3" s="41"/>
      <c r="AC3" s="41"/>
      <c r="AD3" s="41"/>
    </row>
    <row r="5" customFormat="false" ht="15" hidden="false" customHeight="true" outlineLevel="0" collapsed="false">
      <c r="A5" s="42"/>
      <c r="B5" s="42"/>
      <c r="C5" s="42"/>
      <c r="D5" s="42"/>
      <c r="E5" s="42"/>
      <c r="F5" s="43" t="s">
        <v>93</v>
      </c>
      <c r="G5" s="43"/>
      <c r="H5" s="43"/>
      <c r="I5" s="43"/>
      <c r="J5" s="43"/>
      <c r="K5" s="43"/>
      <c r="L5" s="43" t="s">
        <v>94</v>
      </c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 t="s">
        <v>95</v>
      </c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</row>
    <row r="6" customFormat="false" ht="15" hidden="false" customHeight="true" outlineLevel="0" collapsed="false">
      <c r="A6" s="42"/>
      <c r="B6" s="42"/>
      <c r="C6" s="42"/>
      <c r="D6" s="42"/>
      <c r="E6" s="42"/>
      <c r="F6" s="44" t="s">
        <v>96</v>
      </c>
      <c r="G6" s="44"/>
      <c r="H6" s="44"/>
      <c r="I6" s="44" t="s">
        <v>97</v>
      </c>
      <c r="J6" s="44"/>
      <c r="K6" s="44"/>
      <c r="L6" s="44" t="s">
        <v>98</v>
      </c>
      <c r="M6" s="44"/>
      <c r="N6" s="44"/>
      <c r="O6" s="44" t="s">
        <v>99</v>
      </c>
      <c r="P6" s="44"/>
      <c r="Q6" s="44"/>
      <c r="R6" s="44" t="s">
        <v>96</v>
      </c>
      <c r="S6" s="44"/>
      <c r="T6" s="44"/>
      <c r="U6" s="44" t="s">
        <v>97</v>
      </c>
      <c r="V6" s="44"/>
      <c r="W6" s="44"/>
      <c r="X6" s="44" t="s">
        <v>98</v>
      </c>
      <c r="Y6" s="44"/>
      <c r="Z6" s="44"/>
      <c r="AA6" s="44" t="s">
        <v>99</v>
      </c>
      <c r="AB6" s="44"/>
      <c r="AC6" s="44"/>
      <c r="AD6" s="44" t="s">
        <v>96</v>
      </c>
      <c r="AE6" s="44"/>
      <c r="AF6" s="44"/>
      <c r="AG6" s="44" t="s">
        <v>97</v>
      </c>
      <c r="AH6" s="44"/>
      <c r="AI6" s="44"/>
    </row>
    <row r="7" customFormat="false" ht="30" hidden="false" customHeight="true" outlineLevel="0" collapsed="false">
      <c r="A7" s="43" t="s">
        <v>100</v>
      </c>
      <c r="B7" s="43" t="s">
        <v>101</v>
      </c>
      <c r="C7" s="43" t="s">
        <v>27</v>
      </c>
      <c r="D7" s="43" t="s">
        <v>102</v>
      </c>
      <c r="E7" s="43" t="s">
        <v>103</v>
      </c>
      <c r="F7" s="45" t="n">
        <v>46204</v>
      </c>
      <c r="G7" s="45" t="n">
        <v>46235</v>
      </c>
      <c r="H7" s="45" t="n">
        <v>46266</v>
      </c>
      <c r="I7" s="45" t="n">
        <v>46296</v>
      </c>
      <c r="J7" s="45" t="n">
        <v>46327</v>
      </c>
      <c r="K7" s="45" t="n">
        <v>46357</v>
      </c>
      <c r="L7" s="45" t="n">
        <v>46388</v>
      </c>
      <c r="M7" s="45" t="n">
        <v>46419</v>
      </c>
      <c r="N7" s="45" t="n">
        <v>46447</v>
      </c>
      <c r="O7" s="45" t="n">
        <v>46478</v>
      </c>
      <c r="P7" s="45" t="n">
        <v>46508</v>
      </c>
      <c r="Q7" s="45" t="n">
        <v>46539</v>
      </c>
      <c r="R7" s="45" t="n">
        <v>46569</v>
      </c>
      <c r="S7" s="45" t="n">
        <v>46600</v>
      </c>
      <c r="T7" s="45" t="n">
        <v>46631</v>
      </c>
      <c r="U7" s="45" t="n">
        <v>46661</v>
      </c>
      <c r="V7" s="45" t="n">
        <v>46692</v>
      </c>
      <c r="W7" s="45" t="n">
        <v>46722</v>
      </c>
      <c r="X7" s="45" t="n">
        <v>46753</v>
      </c>
      <c r="Y7" s="45" t="n">
        <v>46784</v>
      </c>
      <c r="Z7" s="45" t="n">
        <v>46813</v>
      </c>
      <c r="AA7" s="45" t="n">
        <v>46844</v>
      </c>
      <c r="AB7" s="45" t="n">
        <v>46874</v>
      </c>
      <c r="AC7" s="45" t="n">
        <v>46905</v>
      </c>
      <c r="AD7" s="45" t="n">
        <v>46935</v>
      </c>
      <c r="AE7" s="45" t="n">
        <v>46966</v>
      </c>
      <c r="AF7" s="45" t="n">
        <v>46997</v>
      </c>
      <c r="AG7" s="45" t="n">
        <v>47027</v>
      </c>
      <c r="AH7" s="45" t="n">
        <v>47058</v>
      </c>
      <c r="AI7" s="45" t="n">
        <v>47088</v>
      </c>
    </row>
    <row r="8" customFormat="false" ht="18" hidden="false" customHeight="true" outlineLevel="0" collapsed="false">
      <c r="A8" s="46" t="s">
        <v>104</v>
      </c>
      <c r="B8" s="46" t="s">
        <v>105</v>
      </c>
      <c r="C8" s="47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  <c r="S8" s="47"/>
      <c r="T8" s="47"/>
      <c r="U8" s="47"/>
      <c r="V8" s="47"/>
      <c r="W8" s="47"/>
      <c r="X8" s="47"/>
      <c r="Y8" s="47"/>
      <c r="Z8" s="47"/>
      <c r="AA8" s="47"/>
      <c r="AB8" s="47"/>
      <c r="AC8" s="47"/>
      <c r="AD8" s="47"/>
      <c r="AE8" s="47"/>
      <c r="AF8" s="47"/>
      <c r="AG8" s="47"/>
      <c r="AH8" s="47"/>
      <c r="AI8" s="47"/>
    </row>
    <row r="9" customFormat="false" ht="25.5" hidden="false" customHeight="true" outlineLevel="0" collapsed="false">
      <c r="A9" s="48" t="s">
        <v>106</v>
      </c>
      <c r="B9" s="49" t="str">
        <f aca="false">IFERROR(INDEX(Initiatives!$D$5:$D$60,MATCH($A9,Initiatives!$A$5:$A$60,0)),"")</f>
        <v>MVP build (Sprints 1–8)</v>
      </c>
      <c r="C9" s="50" t="str">
        <f aca="false">IFERROR(INDEX(Initiatives!$L$5:$L$60,MATCH($A9,Initiatives!$A$5:$A$60,0)),"")</f>
        <v>In progress</v>
      </c>
      <c r="D9" s="51" t="n">
        <f aca="false">IFERROR(INDEX(Initiatives!$G$5:$G$60,MATCH($A9,Initiatives!$A$5:$A$60,0)),"")</f>
        <v>46223</v>
      </c>
      <c r="E9" s="51" t="n">
        <f aca="false">IFERROR(INDEX(Initiatives!$H$5:$H$60,MATCH($A9,Initiatives!$A$5:$A$60,0)),"")</f>
        <v>46332</v>
      </c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</row>
    <row r="10" customFormat="false" ht="25.5" hidden="false" customHeight="true" outlineLevel="0" collapsed="false">
      <c r="A10" s="48" t="s">
        <v>107</v>
      </c>
      <c r="B10" s="49" t="str">
        <f aca="false">IFERROR(INDEX(Initiatives!$D$5:$D$60,MATCH($A10,Initiatives!$A$5:$A$60,0)),"")</f>
        <v>Security, UAT and hardening (Sprints 9–10)</v>
      </c>
      <c r="C10" s="50" t="str">
        <f aca="false">IFERROR(INDEX(Initiatives!$L$5:$L$60,MATCH($A10,Initiatives!$A$5:$A$60,0)),"")</f>
        <v>Committed</v>
      </c>
      <c r="D10" s="51" t="n">
        <f aca="false">IFERROR(INDEX(Initiatives!$G$5:$G$60,MATCH($A10,Initiatives!$A$5:$A$60,0)),"")</f>
        <v>46335</v>
      </c>
      <c r="E10" s="51" t="n">
        <f aca="false">IFERROR(INDEX(Initiatives!$H$5:$H$60,MATCH($A10,Initiatives!$A$5:$A$60,0)),"")</f>
        <v>46360</v>
      </c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</row>
    <row r="11" customFormat="false" ht="25.5" hidden="false" customHeight="true" outlineLevel="0" collapsed="false">
      <c r="A11" s="48" t="s">
        <v>108</v>
      </c>
      <c r="B11" s="49" t="str">
        <f aca="false">IFERROR(INDEX(Initiatives!$D$5:$D$60,MATCH($A11,Initiatives!$A$5:$A$60,0)),"")</f>
        <v>Go-live and hypercare</v>
      </c>
      <c r="C11" s="50" t="str">
        <f aca="false">IFERROR(INDEX(Initiatives!$L$5:$L$60,MATCH($A11,Initiatives!$A$5:$A$60,0)),"")</f>
        <v>Committed</v>
      </c>
      <c r="D11" s="51" t="n">
        <f aca="false">IFERROR(INDEX(Initiatives!$G$5:$G$60,MATCH($A11,Initiatives!$A$5:$A$60,0)),"")</f>
        <v>46367</v>
      </c>
      <c r="E11" s="51" t="n">
        <f aca="false">IFERROR(INDEX(Initiatives!$H$5:$H$60,MATCH($A11,Initiatives!$A$5:$A$60,0)),"")</f>
        <v>46409</v>
      </c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  <c r="AA11" s="52"/>
      <c r="AB11" s="52"/>
      <c r="AC11" s="52"/>
      <c r="AD11" s="52"/>
      <c r="AE11" s="52"/>
      <c r="AF11" s="52"/>
      <c r="AG11" s="52"/>
      <c r="AH11" s="52"/>
      <c r="AI11" s="52"/>
    </row>
    <row r="12" customFormat="false" ht="18" hidden="false" customHeight="true" outlineLevel="0" collapsed="false">
      <c r="A12" s="53" t="s">
        <v>109</v>
      </c>
      <c r="B12" s="53" t="s">
        <v>110</v>
      </c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4"/>
    </row>
    <row r="13" customFormat="false" ht="25.5" hidden="false" customHeight="true" outlineLevel="0" collapsed="false">
      <c r="A13" s="48" t="s">
        <v>111</v>
      </c>
      <c r="B13" s="49" t="str">
        <f aca="false">IFERROR(INDEX(Initiatives!$D$5:$D$60,MATCH($A13,Initiatives!$A$5:$A$60,0)),"")</f>
        <v>Pilot with 10 merchants</v>
      </c>
      <c r="C13" s="50" t="str">
        <f aca="false">IFERROR(INDEX(Initiatives!$L$5:$L$60,MATCH($A13,Initiatives!$A$5:$A$60,0)),"")</f>
        <v>Committed</v>
      </c>
      <c r="D13" s="51" t="n">
        <f aca="false">IFERROR(INDEX(Initiatives!$G$5:$G$60,MATCH($A13,Initiatives!$A$5:$A$60,0)),"")</f>
        <v>46398</v>
      </c>
      <c r="E13" s="51" t="n">
        <f aca="false">IFERROR(INDEX(Initiatives!$H$5:$H$60,MATCH($A13,Initiatives!$A$5:$A$60,0)),"")</f>
        <v>46451</v>
      </c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2"/>
      <c r="AF13" s="52"/>
      <c r="AG13" s="52"/>
      <c r="AH13" s="52"/>
      <c r="AI13" s="52"/>
    </row>
    <row r="14" customFormat="false" ht="25.5" hidden="false" customHeight="true" outlineLevel="0" collapsed="false">
      <c r="A14" s="48" t="s">
        <v>112</v>
      </c>
      <c r="B14" s="49" t="str">
        <f aca="false">IFERROR(INDEX(Initiatives!$D$5:$D$60,MATCH($A14,Initiatives!$A$5:$A$60,0)),"")</f>
        <v>Pilot feedback fixes</v>
      </c>
      <c r="C14" s="50" t="str">
        <f aca="false">IFERROR(INDEX(Initiatives!$L$5:$L$60,MATCH($A14,Initiatives!$A$5:$A$60,0)),"")</f>
        <v>Planned</v>
      </c>
      <c r="D14" s="51" t="n">
        <f aca="false">IFERROR(INDEX(Initiatives!$G$5:$G$60,MATCH($A14,Initiatives!$A$5:$A$60,0)),"")</f>
        <v>46426</v>
      </c>
      <c r="E14" s="51" t="n">
        <f aca="false">IFERROR(INDEX(Initiatives!$H$5:$H$60,MATCH($A14,Initiatives!$A$5:$A$60,0)),"")</f>
        <v>46472</v>
      </c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  <c r="AA14" s="52"/>
      <c r="AB14" s="52"/>
      <c r="AC14" s="52"/>
      <c r="AD14" s="52"/>
      <c r="AE14" s="52"/>
      <c r="AF14" s="52"/>
      <c r="AG14" s="52"/>
      <c r="AH14" s="52"/>
      <c r="AI14" s="52"/>
    </row>
    <row r="15" customFormat="false" ht="25.5" hidden="false" customHeight="true" outlineLevel="0" collapsed="false">
      <c r="A15" s="48" t="s">
        <v>113</v>
      </c>
      <c r="B15" s="49" t="str">
        <f aca="false">IFERROR(INDEX(Initiatives!$D$5:$D$60,MATCH($A15,Initiatives!$A$5:$A$60,0)),"")</f>
        <v>Wave 1 rollout</v>
      </c>
      <c r="C15" s="50" t="str">
        <f aca="false">IFERROR(INDEX(Initiatives!$L$5:$L$60,MATCH($A15,Initiatives!$A$5:$A$60,0)),"")</f>
        <v>Planned</v>
      </c>
      <c r="D15" s="51" t="n">
        <f aca="false">IFERROR(INDEX(Initiatives!$G$5:$G$60,MATCH($A15,Initiatives!$A$5:$A$60,0)),"")</f>
        <v>46461</v>
      </c>
      <c r="E15" s="51" t="n">
        <f aca="false">IFERROR(INDEX(Initiatives!$H$5:$H$60,MATCH($A15,Initiatives!$A$5:$A$60,0)),"")</f>
        <v>46535</v>
      </c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</row>
    <row r="16" customFormat="false" ht="25.5" hidden="false" customHeight="true" outlineLevel="0" collapsed="false">
      <c r="A16" s="48" t="s">
        <v>114</v>
      </c>
      <c r="B16" s="49" t="str">
        <f aca="false">IFERROR(INDEX(Initiatives!$D$5:$D$60,MATCH($A16,Initiatives!$A$5:$A$60,0)),"")</f>
        <v>Wave 2 rollout</v>
      </c>
      <c r="C16" s="50" t="str">
        <f aca="false">IFERROR(INDEX(Initiatives!$L$5:$L$60,MATCH($A16,Initiatives!$A$5:$A$60,0)),"")</f>
        <v>Planned</v>
      </c>
      <c r="D16" s="51" t="n">
        <f aca="false">IFERROR(INDEX(Initiatives!$G$5:$G$60,MATCH($A16,Initiatives!$A$5:$A$60,0)),"")</f>
        <v>46545</v>
      </c>
      <c r="E16" s="51" t="n">
        <f aca="false">IFERROR(INDEX(Initiatives!$H$5:$H$60,MATCH($A16,Initiatives!$A$5:$A$60,0)),"")</f>
        <v>46654</v>
      </c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  <c r="AB16" s="52"/>
      <c r="AC16" s="52"/>
      <c r="AD16" s="52"/>
      <c r="AE16" s="52"/>
      <c r="AF16" s="52"/>
      <c r="AG16" s="52"/>
      <c r="AH16" s="52"/>
      <c r="AI16" s="52"/>
    </row>
    <row r="17" customFormat="false" ht="25.5" hidden="false" customHeight="true" outlineLevel="0" collapsed="false">
      <c r="A17" s="48" t="s">
        <v>115</v>
      </c>
      <c r="B17" s="49" t="str">
        <f aca="false">IFERROR(INDEX(Initiatives!$D$5:$D$60,MATCH($A17,Initiatives!$A$5:$A$60,0)),"")</f>
        <v>Spanish language portal</v>
      </c>
      <c r="C17" s="50" t="str">
        <f aca="false">IFERROR(INDEX(Initiatives!$L$5:$L$60,MATCH($A17,Initiatives!$A$5:$A$60,0)),"")</f>
        <v>Planned</v>
      </c>
      <c r="D17" s="51" t="n">
        <f aca="false">IFERROR(INDEX(Initiatives!$G$5:$G$60,MATCH($A17,Initiatives!$A$5:$A$60,0)),"")</f>
        <v>46573</v>
      </c>
      <c r="E17" s="51" t="n">
        <f aca="false">IFERROR(INDEX(Initiatives!$H$5:$H$60,MATCH($A17,Initiatives!$A$5:$A$60,0)),"")</f>
        <v>46654</v>
      </c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  <c r="AB17" s="52"/>
      <c r="AC17" s="52"/>
      <c r="AD17" s="52"/>
      <c r="AE17" s="52"/>
      <c r="AF17" s="52"/>
      <c r="AG17" s="52"/>
      <c r="AH17" s="52"/>
      <c r="AI17" s="52"/>
    </row>
    <row r="18" customFormat="false" ht="25.5" hidden="false" customHeight="true" outlineLevel="0" collapsed="false">
      <c r="A18" s="48" t="s">
        <v>116</v>
      </c>
      <c r="B18" s="49" t="str">
        <f aca="false">IFERROR(INDEX(Initiatives!$D$5:$D$60,MATCH($A18,Initiatives!$A$5:$A$60,0)),"")</f>
        <v>General availability</v>
      </c>
      <c r="C18" s="50" t="str">
        <f aca="false">IFERROR(INDEX(Initiatives!$L$5:$L$60,MATCH($A18,Initiatives!$A$5:$A$60,0)),"")</f>
        <v>Planned</v>
      </c>
      <c r="D18" s="51" t="n">
        <f aca="false">IFERROR(INDEX(Initiatives!$G$5:$G$60,MATCH($A18,Initiatives!$A$5:$A$60,0)),"")</f>
        <v>46664</v>
      </c>
      <c r="E18" s="51" t="n">
        <f aca="false">IFERROR(INDEX(Initiatives!$H$5:$H$60,MATCH($A18,Initiatives!$A$5:$A$60,0)),"")</f>
        <v>46738</v>
      </c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  <c r="AA18" s="52"/>
      <c r="AB18" s="52"/>
      <c r="AC18" s="52"/>
      <c r="AD18" s="52"/>
      <c r="AE18" s="52"/>
      <c r="AF18" s="52"/>
      <c r="AG18" s="52"/>
      <c r="AH18" s="52"/>
      <c r="AI18" s="52"/>
    </row>
    <row r="19" customFormat="false" ht="18" hidden="false" customHeight="true" outlineLevel="0" collapsed="false">
      <c r="A19" s="55" t="s">
        <v>117</v>
      </c>
      <c r="B19" s="55" t="s">
        <v>118</v>
      </c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</row>
    <row r="20" customFormat="false" ht="25.5" hidden="false" customHeight="true" outlineLevel="0" collapsed="false">
      <c r="A20" s="48" t="s">
        <v>119</v>
      </c>
      <c r="B20" s="49" t="str">
        <f aca="false">IFERROR(INDEX(Initiatives!$D$5:$D$60,MATCH($A20,Initiatives!$A$5:$A$60,0)),"")</f>
        <v>Evidence guidance for recurring billing and travel</v>
      </c>
      <c r="C20" s="50" t="str">
        <f aca="false">IFERROR(INDEX(Initiatives!$L$5:$L$60,MATCH($A20,Initiatives!$A$5:$A$60,0)),"")</f>
        <v>Planned</v>
      </c>
      <c r="D20" s="51" t="n">
        <f aca="false">IFERROR(INDEX(Initiatives!$G$5:$G$60,MATCH($A20,Initiatives!$A$5:$A$60,0)),"")</f>
        <v>46482</v>
      </c>
      <c r="E20" s="51" t="n">
        <f aca="false">IFERROR(INDEX(Initiatives!$H$5:$H$60,MATCH($A20,Initiatives!$A$5:$A$60,0)),"")</f>
        <v>46535</v>
      </c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2"/>
      <c r="AB20" s="52"/>
      <c r="AC20" s="52"/>
      <c r="AD20" s="52"/>
      <c r="AE20" s="52"/>
      <c r="AF20" s="52"/>
      <c r="AG20" s="52"/>
      <c r="AH20" s="52"/>
      <c r="AI20" s="52"/>
    </row>
    <row r="21" customFormat="false" ht="25.5" hidden="false" customHeight="true" outlineLevel="0" collapsed="false">
      <c r="A21" s="48" t="s">
        <v>120</v>
      </c>
      <c r="B21" s="49" t="str">
        <f aca="false">IFERROR(INDEX(Initiatives!$D$5:$D$60,MATCH($A21,Initiatives!$A$5:$A$60,0)),"")</f>
        <v>Evidence templates by reason code</v>
      </c>
      <c r="C21" s="50" t="str">
        <f aca="false">IFERROR(INDEX(Initiatives!$L$5:$L$60,MATCH($A21,Initiatives!$A$5:$A$60,0)),"")</f>
        <v>Exploring</v>
      </c>
      <c r="D21" s="51" t="n">
        <f aca="false">IFERROR(INDEX(Initiatives!$G$5:$G$60,MATCH($A21,Initiatives!$A$5:$A$60,0)),"")</f>
        <v>46482</v>
      </c>
      <c r="E21" s="51" t="n">
        <f aca="false">IFERROR(INDEX(Initiatives!$H$5:$H$60,MATCH($A21,Initiatives!$A$5:$A$60,0)),"")</f>
        <v>46563</v>
      </c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  <c r="AA21" s="52"/>
      <c r="AB21" s="52"/>
      <c r="AC21" s="52"/>
      <c r="AD21" s="52"/>
      <c r="AE21" s="52"/>
      <c r="AF21" s="52"/>
      <c r="AG21" s="52"/>
      <c r="AH21" s="52"/>
      <c r="AI21" s="52"/>
    </row>
    <row r="22" customFormat="false" ht="25.5" hidden="false" customHeight="true" outlineLevel="0" collapsed="false">
      <c r="A22" s="48" t="s">
        <v>121</v>
      </c>
      <c r="B22" s="49" t="str">
        <f aca="false">IFERROR(INDEX(Initiatives!$D$5:$D$60,MATCH($A22,Initiatives!$A$5:$A$60,0)),"")</f>
        <v>SMS deadline reminders</v>
      </c>
      <c r="C22" s="50" t="str">
        <f aca="false">IFERROR(INDEX(Initiatives!$L$5:$L$60,MATCH($A22,Initiatives!$A$5:$A$60,0)),"")</f>
        <v>Idea</v>
      </c>
      <c r="D22" s="51" t="n">
        <f aca="false">IFERROR(INDEX(Initiatives!$G$5:$G$60,MATCH($A22,Initiatives!$A$5:$A$60,0)),"")</f>
        <v>46482</v>
      </c>
      <c r="E22" s="51" t="n">
        <f aca="false">IFERROR(INDEX(Initiatives!$H$5:$H$60,MATCH($A22,Initiatives!$A$5:$A$60,0)),"")</f>
        <v>46563</v>
      </c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  <c r="AA22" s="52"/>
      <c r="AB22" s="52"/>
      <c r="AC22" s="52"/>
      <c r="AD22" s="52"/>
      <c r="AE22" s="52"/>
      <c r="AF22" s="52"/>
      <c r="AG22" s="52"/>
      <c r="AH22" s="52"/>
      <c r="AI22" s="52"/>
    </row>
    <row r="23" customFormat="false" ht="25.5" hidden="false" customHeight="true" outlineLevel="0" collapsed="false">
      <c r="A23" s="48" t="s">
        <v>122</v>
      </c>
      <c r="B23" s="49" t="str">
        <f aca="false">IFERROR(INDEX(Initiatives!$D$5:$D$60,MATCH($A23,Initiatives!$A$5:$A$60,0)),"")</f>
        <v>Evidence quality checks before submission</v>
      </c>
      <c r="C23" s="50" t="str">
        <f aca="false">IFERROR(INDEX(Initiatives!$L$5:$L$60,MATCH($A23,Initiatives!$A$5:$A$60,0)),"")</f>
        <v>Idea</v>
      </c>
      <c r="D23" s="51" t="n">
        <f aca="false">IFERROR(INDEX(Initiatives!$G$5:$G$60,MATCH($A23,Initiatives!$A$5:$A$60,0)),"")</f>
        <v>46846</v>
      </c>
      <c r="E23" s="51" t="n">
        <f aca="false">IFERROR(INDEX(Initiatives!$H$5:$H$60,MATCH($A23,Initiatives!$A$5:$A$60,0)),"")</f>
        <v>46934</v>
      </c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  <c r="AA23" s="52"/>
      <c r="AB23" s="52"/>
      <c r="AC23" s="52"/>
      <c r="AD23" s="52"/>
      <c r="AE23" s="52"/>
      <c r="AF23" s="52"/>
      <c r="AG23" s="52"/>
      <c r="AH23" s="52"/>
      <c r="AI23" s="52"/>
    </row>
    <row r="24" customFormat="false" ht="25.5" hidden="false" customHeight="true" outlineLevel="0" collapsed="false">
      <c r="A24" s="48" t="s">
        <v>123</v>
      </c>
      <c r="B24" s="49" t="str">
        <f aca="false">IFERROR(INDEX(Initiatives!$D$5:$D$60,MATCH($A24,Initiatives!$A$5:$A$60,0)),"")</f>
        <v>Pre-dispute alerts and early refunds</v>
      </c>
      <c r="C24" s="50" t="str">
        <f aca="false">IFERROR(INDEX(Initiatives!$L$5:$L$60,MATCH($A24,Initiatives!$A$5:$A$60,0)),"")</f>
        <v>Exploring</v>
      </c>
      <c r="D24" s="51" t="n">
        <f aca="false">IFERROR(INDEX(Initiatives!$G$5:$G$60,MATCH($A24,Initiatives!$A$5:$A$60,0)),"")</f>
        <v>46573</v>
      </c>
      <c r="E24" s="51" t="n">
        <f aca="false">IFERROR(INDEX(Initiatives!$H$5:$H$60,MATCH($A24,Initiatives!$A$5:$A$60,0)),"")</f>
        <v>46654</v>
      </c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  <c r="AA24" s="52"/>
      <c r="AB24" s="52"/>
      <c r="AC24" s="52"/>
      <c r="AD24" s="52"/>
      <c r="AE24" s="52"/>
      <c r="AF24" s="52"/>
      <c r="AG24" s="52"/>
      <c r="AH24" s="52"/>
      <c r="AI24" s="52"/>
    </row>
    <row r="25" customFormat="false" ht="25.5" hidden="false" customHeight="true" outlineLevel="0" collapsed="false">
      <c r="A25" s="48" t="s">
        <v>124</v>
      </c>
      <c r="B25" s="49" t="str">
        <f aca="false">IFERROR(INDEX(Initiatives!$D$5:$D$60,MATCH($A25,Initiatives!$A$5:$A$60,0)),"")</f>
        <v>AI evidence copilot (pilot)</v>
      </c>
      <c r="C25" s="50" t="str">
        <f aca="false">IFERROR(INDEX(Initiatives!$L$5:$L$60,MATCH($A25,Initiatives!$A$5:$A$60,0)),"")</f>
        <v>Exploring</v>
      </c>
      <c r="D25" s="51" t="n">
        <f aca="false">IFERROR(INDEX(Initiatives!$G$5:$G$60,MATCH($A25,Initiatives!$A$5:$A$60,0)),"")</f>
        <v>46573</v>
      </c>
      <c r="E25" s="51" t="n">
        <f aca="false">IFERROR(INDEX(Initiatives!$H$5:$H$60,MATCH($A25,Initiatives!$A$5:$A$60,0)),"")</f>
        <v>46738</v>
      </c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  <c r="AA25" s="52"/>
      <c r="AB25" s="52"/>
      <c r="AC25" s="52"/>
      <c r="AD25" s="52"/>
      <c r="AE25" s="52"/>
      <c r="AF25" s="52"/>
      <c r="AG25" s="52"/>
      <c r="AH25" s="52"/>
      <c r="AI25" s="52"/>
    </row>
    <row r="26" customFormat="false" ht="25.5" hidden="false" customHeight="true" outlineLevel="0" collapsed="false">
      <c r="A26" s="48" t="s">
        <v>125</v>
      </c>
      <c r="B26" s="49" t="str">
        <f aca="false">IFERROR(INDEX(Initiatives!$D$5:$D$60,MATCH($A26,Initiatives!$A$5:$A$60,0)),"")</f>
        <v>Friendly fraud evidence automation</v>
      </c>
      <c r="C26" s="50" t="str">
        <f aca="false">IFERROR(INDEX(Initiatives!$L$5:$L$60,MATCH($A26,Initiatives!$A$5:$A$60,0)),"")</f>
        <v>Idea</v>
      </c>
      <c r="D26" s="51" t="n">
        <f aca="false">IFERROR(INDEX(Initiatives!$G$5:$G$60,MATCH($A26,Initiatives!$A$5:$A$60,0)),"")</f>
        <v>46755</v>
      </c>
      <c r="E26" s="51" t="n">
        <f aca="false">IFERROR(INDEX(Initiatives!$H$5:$H$60,MATCH($A26,Initiatives!$A$5:$A$60,0)),"")</f>
        <v>46843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2"/>
      <c r="AD26" s="52"/>
      <c r="AE26" s="52"/>
      <c r="AF26" s="52"/>
      <c r="AG26" s="52"/>
      <c r="AH26" s="52"/>
      <c r="AI26" s="52"/>
    </row>
    <row r="27" customFormat="false" ht="25.5" hidden="false" customHeight="true" outlineLevel="0" collapsed="false">
      <c r="A27" s="48" t="s">
        <v>126</v>
      </c>
      <c r="B27" s="49" t="str">
        <f aca="false">IFERROR(INDEX(Initiatives!$D$5:$D$60,MATCH($A27,Initiatives!$A$5:$A$60,0)),"")</f>
        <v>Root-cause insights and recommendations</v>
      </c>
      <c r="C27" s="50" t="str">
        <f aca="false">IFERROR(INDEX(Initiatives!$L$5:$L$60,MATCH($A27,Initiatives!$A$5:$A$60,0)),"")</f>
        <v>Idea</v>
      </c>
      <c r="D27" s="51" t="n">
        <f aca="false">IFERROR(INDEX(Initiatives!$G$5:$G$60,MATCH($A27,Initiatives!$A$5:$A$60,0)),"")</f>
        <v>46755</v>
      </c>
      <c r="E27" s="51" t="n">
        <f aca="false">IFERROR(INDEX(Initiatives!$H$5:$H$60,MATCH($A27,Initiatives!$A$5:$A$60,0)),"")</f>
        <v>46934</v>
      </c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  <c r="AA27" s="52"/>
      <c r="AB27" s="52"/>
      <c r="AC27" s="52"/>
      <c r="AD27" s="52"/>
      <c r="AE27" s="52"/>
      <c r="AF27" s="52"/>
      <c r="AG27" s="52"/>
      <c r="AH27" s="52"/>
      <c r="AI27" s="52"/>
    </row>
    <row r="28" customFormat="false" ht="18" hidden="false" customHeight="true" outlineLevel="0" collapsed="false">
      <c r="A28" s="57" t="s">
        <v>127</v>
      </c>
      <c r="B28" s="57" t="s">
        <v>128</v>
      </c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  <c r="AC28" s="58"/>
      <c r="AD28" s="58"/>
      <c r="AE28" s="58"/>
      <c r="AF28" s="58"/>
      <c r="AG28" s="58"/>
      <c r="AH28" s="58"/>
      <c r="AI28" s="58"/>
    </row>
    <row r="29" customFormat="false" ht="25.5" hidden="false" customHeight="true" outlineLevel="0" collapsed="false">
      <c r="A29" s="48" t="s">
        <v>129</v>
      </c>
      <c r="B29" s="49" t="str">
        <f aca="false">IFERROR(INDEX(Initiatives!$D$5:$D$60,MATCH($A29,Initiatives!$A$5:$A$60,0)),"")</f>
        <v>Fraud case reference on disputes</v>
      </c>
      <c r="C29" s="50" t="str">
        <f aca="false">IFERROR(INDEX(Initiatives!$L$5:$L$60,MATCH($A29,Initiatives!$A$5:$A$60,0)),"")</f>
        <v>Pending decision</v>
      </c>
      <c r="D29" s="51" t="n">
        <f aca="false">IFERROR(INDEX(Initiatives!$G$5:$G$60,MATCH($A29,Initiatives!$A$5:$A$60,0)),"")</f>
        <v>46321</v>
      </c>
      <c r="E29" s="51" t="n">
        <f aca="false">IFERROR(INDEX(Initiatives!$H$5:$H$60,MATCH($A29,Initiatives!$A$5:$A$60,0)),"")</f>
        <v>46332</v>
      </c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</row>
    <row r="30" customFormat="false" ht="25.5" hidden="false" customHeight="true" outlineLevel="0" collapsed="false">
      <c r="A30" s="48" t="s">
        <v>130</v>
      </c>
      <c r="B30" s="49" t="str">
        <f aca="false">IFERROR(INDEX(Initiatives!$D$5:$D$60,MATCH($A30,Initiatives!$A$5:$A$60,0)),"")</f>
        <v>Reason code admin screen</v>
      </c>
      <c r="C30" s="50" t="str">
        <f aca="false">IFERROR(INDEX(Initiatives!$L$5:$L$60,MATCH($A30,Initiatives!$A$5:$A$60,0)),"")</f>
        <v>Planned</v>
      </c>
      <c r="D30" s="51" t="n">
        <f aca="false">IFERROR(INDEX(Initiatives!$G$5:$G$60,MATCH($A30,Initiatives!$A$5:$A$60,0)),"")</f>
        <v>46482</v>
      </c>
      <c r="E30" s="51" t="n">
        <f aca="false">IFERROR(INDEX(Initiatives!$H$5:$H$60,MATCH($A30,Initiatives!$A$5:$A$60,0)),"")</f>
        <v>46563</v>
      </c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  <c r="AA30" s="52"/>
      <c r="AB30" s="52"/>
      <c r="AC30" s="52"/>
      <c r="AD30" s="52"/>
      <c r="AE30" s="52"/>
      <c r="AF30" s="52"/>
      <c r="AG30" s="52"/>
      <c r="AH30" s="52"/>
      <c r="AI30" s="52"/>
    </row>
    <row r="31" customFormat="false" ht="25.5" hidden="false" customHeight="true" outlineLevel="0" collapsed="false">
      <c r="A31" s="48" t="s">
        <v>131</v>
      </c>
      <c r="B31" s="49" t="str">
        <f aca="false">IFERROR(INDEX(Initiatives!$D$5:$D$60,MATCH($A31,Initiatives!$A$5:$A$60,0)),"")</f>
        <v>Fraud case management in the hub</v>
      </c>
      <c r="C31" s="50" t="str">
        <f aca="false">IFERROR(INDEX(Initiatives!$L$5:$L$60,MATCH($A31,Initiatives!$A$5:$A$60,0)),"")</f>
        <v>Exploring</v>
      </c>
      <c r="D31" s="51" t="n">
        <f aca="false">IFERROR(INDEX(Initiatives!$G$5:$G$60,MATCH($A31,Initiatives!$A$5:$A$60,0)),"")</f>
        <v>46573</v>
      </c>
      <c r="E31" s="51" t="n">
        <f aca="false">IFERROR(INDEX(Initiatives!$H$5:$H$60,MATCH($A31,Initiatives!$A$5:$A$60,0)),"")</f>
        <v>46738</v>
      </c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</row>
    <row r="32" customFormat="false" ht="25.5" hidden="false" customHeight="true" outlineLevel="0" collapsed="false">
      <c r="A32" s="48" t="s">
        <v>132</v>
      </c>
      <c r="B32" s="49" t="str">
        <f aca="false">IFERROR(INDEX(Initiatives!$D$5:$D$60,MATCH($A32,Initiatives!$A$5:$A$60,0)),"")</f>
        <v>Retire email dispute intake</v>
      </c>
      <c r="C32" s="50" t="str">
        <f aca="false">IFERROR(INDEX(Initiatives!$L$5:$L$60,MATCH($A32,Initiatives!$A$5:$A$60,0)),"")</f>
        <v>Planned</v>
      </c>
      <c r="D32" s="51" t="n">
        <f aca="false">IFERROR(INDEX(Initiatives!$G$5:$G$60,MATCH($A32,Initiatives!$A$5:$A$60,0)),"")</f>
        <v>46461</v>
      </c>
      <c r="E32" s="51" t="n">
        <f aca="false">IFERROR(INDEX(Initiatives!$H$5:$H$60,MATCH($A32,Initiatives!$A$5:$A$60,0)),"")</f>
        <v>46738</v>
      </c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  <c r="AA32" s="52"/>
      <c r="AB32" s="52"/>
      <c r="AC32" s="52"/>
      <c r="AD32" s="52"/>
      <c r="AE32" s="52"/>
      <c r="AF32" s="52"/>
      <c r="AG32" s="52"/>
      <c r="AH32" s="52"/>
      <c r="AI32" s="52"/>
    </row>
    <row r="33" customFormat="false" ht="25.5" hidden="false" customHeight="true" outlineLevel="0" collapsed="false">
      <c r="A33" s="48" t="s">
        <v>133</v>
      </c>
      <c r="B33" s="49" t="str">
        <f aca="false">IFERROR(INDEX(Initiatives!$D$5:$D$60,MATCH($A33,Initiatives!$A$5:$A$60,0)),"")</f>
        <v>Auto-accept rules for low-value disputes</v>
      </c>
      <c r="C33" s="50" t="str">
        <f aca="false">IFERROR(INDEX(Initiatives!$L$5:$L$60,MATCH($A33,Initiatives!$A$5:$A$60,0)),"")</f>
        <v>Idea</v>
      </c>
      <c r="D33" s="51" t="n">
        <f aca="false">IFERROR(INDEX(Initiatives!$G$5:$G$60,MATCH($A33,Initiatives!$A$5:$A$60,0)),"")</f>
        <v>46664</v>
      </c>
      <c r="E33" s="51" t="n">
        <f aca="false">IFERROR(INDEX(Initiatives!$H$5:$H$60,MATCH($A33,Initiatives!$A$5:$A$60,0)),"")</f>
        <v>46738</v>
      </c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  <c r="AA33" s="52"/>
      <c r="AB33" s="52"/>
      <c r="AC33" s="52"/>
      <c r="AD33" s="52"/>
      <c r="AE33" s="52"/>
      <c r="AF33" s="52"/>
      <c r="AG33" s="52"/>
      <c r="AH33" s="52"/>
      <c r="AI33" s="52"/>
    </row>
    <row r="34" customFormat="false" ht="18" hidden="false" customHeight="true" outlineLevel="0" collapsed="false">
      <c r="A34" s="59" t="s">
        <v>134</v>
      </c>
      <c r="B34" s="59" t="s">
        <v>135</v>
      </c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</row>
    <row r="35" customFormat="false" ht="25.5" hidden="false" customHeight="true" outlineLevel="0" collapsed="false">
      <c r="A35" s="48" t="s">
        <v>136</v>
      </c>
      <c r="B35" s="49" t="str">
        <f aca="false">IFERROR(INDEX(Initiatives!$D$5:$D$60,MATCH($A35,Initiatives!$A$5:$A$60,0)),"")</f>
        <v>Agree dispute outcome definitions</v>
      </c>
      <c r="C35" s="50" t="str">
        <f aca="false">IFERROR(INDEX(Initiatives!$L$5:$L$60,MATCH($A35,Initiatives!$A$5:$A$60,0)),"")</f>
        <v>In progress</v>
      </c>
      <c r="D35" s="51" t="n">
        <f aca="false">IFERROR(INDEX(Initiatives!$G$5:$G$60,MATCH($A35,Initiatives!$A$5:$A$60,0)),"")</f>
        <v>46272</v>
      </c>
      <c r="E35" s="51" t="n">
        <f aca="false">IFERROR(INDEX(Initiatives!$H$5:$H$60,MATCH($A35,Initiatives!$A$5:$A$60,0)),"")</f>
        <v>46283</v>
      </c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  <c r="AA35" s="52"/>
      <c r="AB35" s="52"/>
      <c r="AC35" s="52"/>
      <c r="AD35" s="52"/>
      <c r="AE35" s="52"/>
      <c r="AF35" s="52"/>
      <c r="AG35" s="52"/>
      <c r="AH35" s="52"/>
      <c r="AI35" s="52"/>
    </row>
    <row r="36" customFormat="false" ht="25.5" hidden="false" customHeight="true" outlineLevel="0" collapsed="false">
      <c r="A36" s="48" t="s">
        <v>137</v>
      </c>
      <c r="B36" s="49" t="str">
        <f aca="false">IFERROR(INDEX(Initiatives!$D$5:$D$60,MATCH($A36,Initiatives!$A$5:$A$60,0)),"")</f>
        <v>Analytics tracking plan and instrumentation</v>
      </c>
      <c r="C36" s="50" t="str">
        <f aca="false">IFERROR(INDEX(Initiatives!$L$5:$L$60,MATCH($A36,Initiatives!$A$5:$A$60,0)),"")</f>
        <v>In progress</v>
      </c>
      <c r="D36" s="51" t="n">
        <f aca="false">IFERROR(INDEX(Initiatives!$G$5:$G$60,MATCH($A36,Initiatives!$A$5:$A$60,0)),"")</f>
        <v>46273</v>
      </c>
      <c r="E36" s="51" t="n">
        <f aca="false">IFERROR(INDEX(Initiatives!$H$5:$H$60,MATCH($A36,Initiatives!$A$5:$A$60,0)),"")</f>
        <v>46346</v>
      </c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  <c r="AA36" s="52"/>
      <c r="AB36" s="52"/>
      <c r="AC36" s="52"/>
      <c r="AD36" s="52"/>
      <c r="AE36" s="52"/>
      <c r="AF36" s="52"/>
      <c r="AG36" s="52"/>
      <c r="AH36" s="52"/>
      <c r="AI36" s="52"/>
    </row>
    <row r="37" customFormat="false" ht="25.5" hidden="false" customHeight="true" outlineLevel="0" collapsed="false">
      <c r="A37" s="48" t="s">
        <v>138</v>
      </c>
      <c r="B37" s="49" t="str">
        <f aca="false">IFERROR(INDEX(Initiatives!$D$5:$D$60,MATCH($A37,Initiatives!$A$5:$A$60,0)),"")</f>
        <v>Merchant satisfaction survey</v>
      </c>
      <c r="C37" s="50" t="str">
        <f aca="false">IFERROR(INDEX(Initiatives!$L$5:$L$60,MATCH($A37,Initiatives!$A$5:$A$60,0)),"")</f>
        <v>Planned</v>
      </c>
      <c r="D37" s="51" t="n">
        <f aca="false">IFERROR(INDEX(Initiatives!$G$5:$G$60,MATCH($A37,Initiatives!$A$5:$A$60,0)),"")</f>
        <v>46398</v>
      </c>
      <c r="E37" s="51" t="n">
        <f aca="false">IFERROR(INDEX(Initiatives!$H$5:$H$60,MATCH($A37,Initiatives!$A$5:$A$60,0)),"")</f>
        <v>46472</v>
      </c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</row>
    <row r="38" customFormat="false" ht="25.5" hidden="false" customHeight="true" outlineLevel="0" collapsed="false">
      <c r="A38" s="48" t="s">
        <v>139</v>
      </c>
      <c r="B38" s="49" t="str">
        <f aca="false">IFERROR(INDEX(Initiatives!$D$5:$D$60,MATCH($A38,Initiatives!$A$5:$A$60,0)),"")</f>
        <v>Dispute ratio health alerts</v>
      </c>
      <c r="C38" s="50" t="str">
        <f aca="false">IFERROR(INDEX(Initiatives!$L$5:$L$60,MATCH($A38,Initiatives!$A$5:$A$60,0)),"")</f>
        <v>Exploring</v>
      </c>
      <c r="D38" s="51" t="n">
        <f aca="false">IFERROR(INDEX(Initiatives!$G$5:$G$60,MATCH($A38,Initiatives!$A$5:$A$60,0)),"")</f>
        <v>46482</v>
      </c>
      <c r="E38" s="51" t="n">
        <f aca="false">IFERROR(INDEX(Initiatives!$H$5:$H$60,MATCH($A38,Initiatives!$A$5:$A$60,0)),"")</f>
        <v>46563</v>
      </c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</row>
    <row r="39" customFormat="false" ht="18" hidden="false" customHeight="true" outlineLevel="0" collapsed="false">
      <c r="A39" s="61" t="s">
        <v>140</v>
      </c>
      <c r="B39" s="61" t="s">
        <v>141</v>
      </c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</row>
    <row r="40" customFormat="false" ht="25.5" hidden="false" customHeight="true" outlineLevel="0" collapsed="false">
      <c r="A40" s="48" t="s">
        <v>142</v>
      </c>
      <c r="B40" s="49" t="str">
        <f aca="false">IFERROR(INDEX(Initiatives!$D$5:$D$60,MATCH($A40,Initiatives!$A$5:$A$60,0)),"")</f>
        <v>Marketplace sub-merchant model</v>
      </c>
      <c r="C40" s="50" t="str">
        <f aca="false">IFERROR(INDEX(Initiatives!$L$5:$L$60,MATCH($A40,Initiatives!$A$5:$A$60,0)),"")</f>
        <v>Idea</v>
      </c>
      <c r="D40" s="51" t="n">
        <f aca="false">IFERROR(INDEX(Initiatives!$G$5:$G$60,MATCH($A40,Initiatives!$A$5:$A$60,0)),"")</f>
        <v>46755</v>
      </c>
      <c r="E40" s="51" t="n">
        <f aca="false">IFERROR(INDEX(Initiatives!$H$5:$H$60,MATCH($A40,Initiatives!$A$5:$A$60,0)),"")</f>
        <v>46934</v>
      </c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</row>
    <row r="41" customFormat="false" ht="25.5" hidden="false" customHeight="true" outlineLevel="0" collapsed="false">
      <c r="A41" s="48" t="s">
        <v>143</v>
      </c>
      <c r="B41" s="49" t="str">
        <f aca="false">IFERROR(INDEX(Initiatives!$D$5:$D$60,MATCH($A41,Initiatives!$A$5:$A$60,0)),"")</f>
        <v>Dispute API for enterprise merchants</v>
      </c>
      <c r="C41" s="50" t="str">
        <f aca="false">IFERROR(INDEX(Initiatives!$L$5:$L$60,MATCH($A41,Initiatives!$A$5:$A$60,0)),"")</f>
        <v>Idea</v>
      </c>
      <c r="D41" s="51" t="n">
        <f aca="false">IFERROR(INDEX(Initiatives!$G$5:$G$60,MATCH($A41,Initiatives!$A$5:$A$60,0)),"")</f>
        <v>46937</v>
      </c>
      <c r="E41" s="51" t="n">
        <f aca="false">IFERROR(INDEX(Initiatives!$H$5:$H$60,MATCH($A41,Initiatives!$A$5:$A$60,0)),"")</f>
        <v>47116</v>
      </c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  <c r="AA41" s="52"/>
      <c r="AB41" s="52"/>
      <c r="AC41" s="52"/>
      <c r="AD41" s="52"/>
      <c r="AE41" s="52"/>
      <c r="AF41" s="52"/>
      <c r="AG41" s="52"/>
      <c r="AH41" s="52"/>
      <c r="AI41" s="52"/>
    </row>
    <row r="42" customFormat="false" ht="25.5" hidden="false" customHeight="true" outlineLevel="0" collapsed="false">
      <c r="A42" s="48" t="s">
        <v>144</v>
      </c>
      <c r="B42" s="49" t="str">
        <f aca="false">IFERROR(INDEX(Initiatives!$D$5:$D$60,MATCH($A42,Initiatives!$A$5:$A$60,0)),"")</f>
        <v>Premium dispute management service</v>
      </c>
      <c r="C42" s="50" t="str">
        <f aca="false">IFERROR(INDEX(Initiatives!$L$5:$L$60,MATCH($A42,Initiatives!$A$5:$A$60,0)),"")</f>
        <v>Idea</v>
      </c>
      <c r="D42" s="51" t="n">
        <f aca="false">IFERROR(INDEX(Initiatives!$G$5:$G$60,MATCH($A42,Initiatives!$A$5:$A$60,0)),"")</f>
        <v>46937</v>
      </c>
      <c r="E42" s="51" t="n">
        <f aca="false">IFERROR(INDEX(Initiatives!$H$5:$H$60,MATCH($A42,Initiatives!$A$5:$A$60,0)),"")</f>
        <v>47116</v>
      </c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  <c r="AA42" s="52"/>
      <c r="AB42" s="52"/>
      <c r="AC42" s="52"/>
      <c r="AD42" s="52"/>
      <c r="AE42" s="52"/>
      <c r="AF42" s="52"/>
      <c r="AG42" s="52"/>
      <c r="AH42" s="52"/>
      <c r="AI42" s="52"/>
    </row>
    <row r="43" customFormat="false" ht="25.5" hidden="false" customHeight="true" outlineLevel="0" collapsed="false">
      <c r="A43" s="48" t="s">
        <v>145</v>
      </c>
      <c r="B43" s="49" t="str">
        <f aca="false">IFERROR(INDEX(Initiatives!$D$5:$D$60,MATCH($A43,Initiatives!$A$5:$A$60,0)),"")</f>
        <v>AI agent purchase readiness</v>
      </c>
      <c r="C43" s="50" t="str">
        <f aca="false">IFERROR(INDEX(Initiatives!$L$5:$L$60,MATCH($A43,Initiatives!$A$5:$A$60,0)),"")</f>
        <v>Idea</v>
      </c>
      <c r="D43" s="51" t="n">
        <f aca="false">IFERROR(INDEX(Initiatives!$G$5:$G$60,MATCH($A43,Initiatives!$A$5:$A$60,0)),"")</f>
        <v>46846</v>
      </c>
      <c r="E43" s="51" t="n">
        <f aca="false">IFERROR(INDEX(Initiatives!$H$5:$H$60,MATCH($A43,Initiatives!$A$5:$A$60,0)),"")</f>
        <v>47025</v>
      </c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</row>
    <row r="45" customFormat="false" ht="18" hidden="false" customHeight="true" outlineLevel="0" collapsed="false">
      <c r="A45" s="63"/>
      <c r="B45" s="64" t="s">
        <v>146</v>
      </c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</row>
    <row r="46" customFormat="false" ht="21.75" hidden="false" customHeight="true" outlineLevel="0" collapsed="false">
      <c r="A46" s="29" t="str">
        <f aca="false">Milestones!A5</f>
        <v>MS-01</v>
      </c>
      <c r="B46" s="65" t="str">
        <f aca="false">Milestones!B5</f>
        <v>CR-05 outcome definitions decision</v>
      </c>
      <c r="C46" s="66" t="str">
        <f aca="false">Milestones!D5</f>
        <v>Decision</v>
      </c>
      <c r="D46" s="67" t="n">
        <f aca="false">Milestones!C5</f>
        <v>46283</v>
      </c>
      <c r="E46" s="50"/>
      <c r="F46" s="68" t="str">
        <f aca="false">IF(AND(ISNUMBER($D46),$D46&gt;=F$7,$D46&lt;=DATE(YEAR(F$7),MONTH(F$7)+1,0)),"◆","")</f>
        <v/>
      </c>
      <c r="G46" s="68" t="str">
        <f aca="false">IF(AND(ISNUMBER($D46),$D46&gt;=G$7,$D46&lt;=DATE(YEAR(G$7),MONTH(G$7)+1,0)),"◆","")</f>
        <v/>
      </c>
      <c r="H46" s="68" t="str">
        <f aca="false">IF(AND(ISNUMBER($D46),$D46&gt;=H$7,$D46&lt;=DATE(YEAR(H$7),MONTH(H$7)+1,0)),"◆","")</f>
        <v>◆</v>
      </c>
      <c r="I46" s="68" t="str">
        <f aca="false">IF(AND(ISNUMBER($D46),$D46&gt;=I$7,$D46&lt;=DATE(YEAR(I$7),MONTH(I$7)+1,0)),"◆","")</f>
        <v/>
      </c>
      <c r="J46" s="68" t="str">
        <f aca="false">IF(AND(ISNUMBER($D46),$D46&gt;=J$7,$D46&lt;=DATE(YEAR(J$7),MONTH(J$7)+1,0)),"◆","")</f>
        <v/>
      </c>
      <c r="K46" s="68" t="str">
        <f aca="false">IF(AND(ISNUMBER($D46),$D46&gt;=K$7,$D46&lt;=DATE(YEAR(K$7),MONTH(K$7)+1,0)),"◆","")</f>
        <v/>
      </c>
      <c r="L46" s="68" t="str">
        <f aca="false">IF(AND(ISNUMBER($D46),$D46&gt;=L$7,$D46&lt;=DATE(YEAR(L$7),MONTH(L$7)+1,0)),"◆","")</f>
        <v/>
      </c>
      <c r="M46" s="68" t="str">
        <f aca="false">IF(AND(ISNUMBER($D46),$D46&gt;=M$7,$D46&lt;=DATE(YEAR(M$7),MONTH(M$7)+1,0)),"◆","")</f>
        <v/>
      </c>
      <c r="N46" s="68" t="str">
        <f aca="false">IF(AND(ISNUMBER($D46),$D46&gt;=N$7,$D46&lt;=DATE(YEAR(N$7),MONTH(N$7)+1,0)),"◆","")</f>
        <v/>
      </c>
      <c r="O46" s="68" t="str">
        <f aca="false">IF(AND(ISNUMBER($D46),$D46&gt;=O$7,$D46&lt;=DATE(YEAR(O$7),MONTH(O$7)+1,0)),"◆","")</f>
        <v/>
      </c>
      <c r="P46" s="68" t="str">
        <f aca="false">IF(AND(ISNUMBER($D46),$D46&gt;=P$7,$D46&lt;=DATE(YEAR(P$7),MONTH(P$7)+1,0)),"◆","")</f>
        <v/>
      </c>
      <c r="Q46" s="68" t="str">
        <f aca="false">IF(AND(ISNUMBER($D46),$D46&gt;=Q$7,$D46&lt;=DATE(YEAR(Q$7),MONTH(Q$7)+1,0)),"◆","")</f>
        <v/>
      </c>
      <c r="R46" s="68" t="str">
        <f aca="false">IF(AND(ISNUMBER($D46),$D46&gt;=R$7,$D46&lt;=DATE(YEAR(R$7),MONTH(R$7)+1,0)),"◆","")</f>
        <v/>
      </c>
      <c r="S46" s="68" t="str">
        <f aca="false">IF(AND(ISNUMBER($D46),$D46&gt;=S$7,$D46&lt;=DATE(YEAR(S$7),MONTH(S$7)+1,0)),"◆","")</f>
        <v/>
      </c>
      <c r="T46" s="68" t="str">
        <f aca="false">IF(AND(ISNUMBER($D46),$D46&gt;=T$7,$D46&lt;=DATE(YEAR(T$7),MONTH(T$7)+1,0)),"◆","")</f>
        <v/>
      </c>
      <c r="U46" s="68" t="str">
        <f aca="false">IF(AND(ISNUMBER($D46),$D46&gt;=U$7,$D46&lt;=DATE(YEAR(U$7),MONTH(U$7)+1,0)),"◆","")</f>
        <v/>
      </c>
      <c r="V46" s="68" t="str">
        <f aca="false">IF(AND(ISNUMBER($D46),$D46&gt;=V$7,$D46&lt;=DATE(YEAR(V$7),MONTH(V$7)+1,0)),"◆","")</f>
        <v/>
      </c>
      <c r="W46" s="68" t="str">
        <f aca="false">IF(AND(ISNUMBER($D46),$D46&gt;=W$7,$D46&lt;=DATE(YEAR(W$7),MONTH(W$7)+1,0)),"◆","")</f>
        <v/>
      </c>
      <c r="X46" s="68" t="str">
        <f aca="false">IF(AND(ISNUMBER($D46),$D46&gt;=X$7,$D46&lt;=DATE(YEAR(X$7),MONTH(X$7)+1,0)),"◆","")</f>
        <v/>
      </c>
      <c r="Y46" s="68" t="str">
        <f aca="false">IF(AND(ISNUMBER($D46),$D46&gt;=Y$7,$D46&lt;=DATE(YEAR(Y$7),MONTH(Y$7)+1,0)),"◆","")</f>
        <v/>
      </c>
      <c r="Z46" s="68" t="str">
        <f aca="false">IF(AND(ISNUMBER($D46),$D46&gt;=Z$7,$D46&lt;=DATE(YEAR(Z$7),MONTH(Z$7)+1,0)),"◆","")</f>
        <v/>
      </c>
      <c r="AA46" s="68" t="str">
        <f aca="false">IF(AND(ISNUMBER($D46),$D46&gt;=AA$7,$D46&lt;=DATE(YEAR(AA$7),MONTH(AA$7)+1,0)),"◆","")</f>
        <v/>
      </c>
      <c r="AB46" s="68" t="str">
        <f aca="false">IF(AND(ISNUMBER($D46),$D46&gt;=AB$7,$D46&lt;=DATE(YEAR(AB$7),MONTH(AB$7)+1,0)),"◆","")</f>
        <v/>
      </c>
      <c r="AC46" s="68" t="str">
        <f aca="false">IF(AND(ISNUMBER($D46),$D46&gt;=AC$7,$D46&lt;=DATE(YEAR(AC$7),MONTH(AC$7)+1,0)),"◆","")</f>
        <v/>
      </c>
      <c r="AD46" s="68" t="str">
        <f aca="false">IF(AND(ISNUMBER($D46),$D46&gt;=AD$7,$D46&lt;=DATE(YEAR(AD$7),MONTH(AD$7)+1,0)),"◆","")</f>
        <v/>
      </c>
      <c r="AE46" s="68" t="str">
        <f aca="false">IF(AND(ISNUMBER($D46),$D46&gt;=AE$7,$D46&lt;=DATE(YEAR(AE$7),MONTH(AE$7)+1,0)),"◆","")</f>
        <v/>
      </c>
      <c r="AF46" s="68" t="str">
        <f aca="false">IF(AND(ISNUMBER($D46),$D46&gt;=AF$7,$D46&lt;=DATE(YEAR(AF$7),MONTH(AF$7)+1,0)),"◆","")</f>
        <v/>
      </c>
      <c r="AG46" s="68" t="str">
        <f aca="false">IF(AND(ISNUMBER($D46),$D46&gt;=AG$7,$D46&lt;=DATE(YEAR(AG$7),MONTH(AG$7)+1,0)),"◆","")</f>
        <v/>
      </c>
      <c r="AH46" s="68" t="str">
        <f aca="false">IF(AND(ISNUMBER($D46),$D46&gt;=AH$7,$D46&lt;=DATE(YEAR(AH$7),MONTH(AH$7)+1,0)),"◆","")</f>
        <v/>
      </c>
      <c r="AI46" s="68" t="str">
        <f aca="false">IF(AND(ISNUMBER($D46),$D46&gt;=AI$7,$D46&lt;=DATE(YEAR(AI$7),MONTH(AI$7)+1,0)),"◆","")</f>
        <v/>
      </c>
    </row>
    <row r="47" customFormat="false" ht="21.75" hidden="false" customHeight="true" outlineLevel="0" collapsed="false">
      <c r="A47" s="29" t="str">
        <f aca="false">Milestones!A6</f>
        <v>MS-02</v>
      </c>
      <c r="B47" s="65" t="str">
        <f aca="false">Milestones!B6</f>
        <v>Steering committee: CR-01 scope and CR-06 UAT approach</v>
      </c>
      <c r="C47" s="66" t="str">
        <f aca="false">Milestones!D6</f>
        <v>Decision</v>
      </c>
      <c r="D47" s="67" t="n">
        <f aca="false">Milestones!C6</f>
        <v>46289</v>
      </c>
      <c r="E47" s="50"/>
      <c r="F47" s="68" t="str">
        <f aca="false">IF(AND(ISNUMBER($D47),$D47&gt;=F$7,$D47&lt;=DATE(YEAR(F$7),MONTH(F$7)+1,0)),"◆","")</f>
        <v/>
      </c>
      <c r="G47" s="68" t="str">
        <f aca="false">IF(AND(ISNUMBER($D47),$D47&gt;=G$7,$D47&lt;=DATE(YEAR(G$7),MONTH(G$7)+1,0)),"◆","")</f>
        <v/>
      </c>
      <c r="H47" s="68" t="str">
        <f aca="false">IF(AND(ISNUMBER($D47),$D47&gt;=H$7,$D47&lt;=DATE(YEAR(H$7),MONTH(H$7)+1,0)),"◆","")</f>
        <v>◆</v>
      </c>
      <c r="I47" s="68" t="str">
        <f aca="false">IF(AND(ISNUMBER($D47),$D47&gt;=I$7,$D47&lt;=DATE(YEAR(I$7),MONTH(I$7)+1,0)),"◆","")</f>
        <v/>
      </c>
      <c r="J47" s="68" t="str">
        <f aca="false">IF(AND(ISNUMBER($D47),$D47&gt;=J$7,$D47&lt;=DATE(YEAR(J$7),MONTH(J$7)+1,0)),"◆","")</f>
        <v/>
      </c>
      <c r="K47" s="68" t="str">
        <f aca="false">IF(AND(ISNUMBER($D47),$D47&gt;=K$7,$D47&lt;=DATE(YEAR(K$7),MONTH(K$7)+1,0)),"◆","")</f>
        <v/>
      </c>
      <c r="L47" s="68" t="str">
        <f aca="false">IF(AND(ISNUMBER($D47),$D47&gt;=L$7,$D47&lt;=DATE(YEAR(L$7),MONTH(L$7)+1,0)),"◆","")</f>
        <v/>
      </c>
      <c r="M47" s="68" t="str">
        <f aca="false">IF(AND(ISNUMBER($D47),$D47&gt;=M$7,$D47&lt;=DATE(YEAR(M$7),MONTH(M$7)+1,0)),"◆","")</f>
        <v/>
      </c>
      <c r="N47" s="68" t="str">
        <f aca="false">IF(AND(ISNUMBER($D47),$D47&gt;=N$7,$D47&lt;=DATE(YEAR(N$7),MONTH(N$7)+1,0)),"◆","")</f>
        <v/>
      </c>
      <c r="O47" s="68" t="str">
        <f aca="false">IF(AND(ISNUMBER($D47),$D47&gt;=O$7,$D47&lt;=DATE(YEAR(O$7),MONTH(O$7)+1,0)),"◆","")</f>
        <v/>
      </c>
      <c r="P47" s="68" t="str">
        <f aca="false">IF(AND(ISNUMBER($D47),$D47&gt;=P$7,$D47&lt;=DATE(YEAR(P$7),MONTH(P$7)+1,0)),"◆","")</f>
        <v/>
      </c>
      <c r="Q47" s="68" t="str">
        <f aca="false">IF(AND(ISNUMBER($D47),$D47&gt;=Q$7,$D47&lt;=DATE(YEAR(Q$7),MONTH(Q$7)+1,0)),"◆","")</f>
        <v/>
      </c>
      <c r="R47" s="68" t="str">
        <f aca="false">IF(AND(ISNUMBER($D47),$D47&gt;=R$7,$D47&lt;=DATE(YEAR(R$7),MONTH(R$7)+1,0)),"◆","")</f>
        <v/>
      </c>
      <c r="S47" s="68" t="str">
        <f aca="false">IF(AND(ISNUMBER($D47),$D47&gt;=S$7,$D47&lt;=DATE(YEAR(S$7),MONTH(S$7)+1,0)),"◆","")</f>
        <v/>
      </c>
      <c r="T47" s="68" t="str">
        <f aca="false">IF(AND(ISNUMBER($D47),$D47&gt;=T$7,$D47&lt;=DATE(YEAR(T$7),MONTH(T$7)+1,0)),"◆","")</f>
        <v/>
      </c>
      <c r="U47" s="68" t="str">
        <f aca="false">IF(AND(ISNUMBER($D47),$D47&gt;=U$7,$D47&lt;=DATE(YEAR(U$7),MONTH(U$7)+1,0)),"◆","")</f>
        <v/>
      </c>
      <c r="V47" s="68" t="str">
        <f aca="false">IF(AND(ISNUMBER($D47),$D47&gt;=V$7,$D47&lt;=DATE(YEAR(V$7),MONTH(V$7)+1,0)),"◆","")</f>
        <v/>
      </c>
      <c r="W47" s="68" t="str">
        <f aca="false">IF(AND(ISNUMBER($D47),$D47&gt;=W$7,$D47&lt;=DATE(YEAR(W$7),MONTH(W$7)+1,0)),"◆","")</f>
        <v/>
      </c>
      <c r="X47" s="68" t="str">
        <f aca="false">IF(AND(ISNUMBER($D47),$D47&gt;=X$7,$D47&lt;=DATE(YEAR(X$7),MONTH(X$7)+1,0)),"◆","")</f>
        <v/>
      </c>
      <c r="Y47" s="68" t="str">
        <f aca="false">IF(AND(ISNUMBER($D47),$D47&gt;=Y$7,$D47&lt;=DATE(YEAR(Y$7),MONTH(Y$7)+1,0)),"◆","")</f>
        <v/>
      </c>
      <c r="Z47" s="68" t="str">
        <f aca="false">IF(AND(ISNUMBER($D47),$D47&gt;=Z$7,$D47&lt;=DATE(YEAR(Z$7),MONTH(Z$7)+1,0)),"◆","")</f>
        <v/>
      </c>
      <c r="AA47" s="68" t="str">
        <f aca="false">IF(AND(ISNUMBER($D47),$D47&gt;=AA$7,$D47&lt;=DATE(YEAR(AA$7),MONTH(AA$7)+1,0)),"◆","")</f>
        <v/>
      </c>
      <c r="AB47" s="68" t="str">
        <f aca="false">IF(AND(ISNUMBER($D47),$D47&gt;=AB$7,$D47&lt;=DATE(YEAR(AB$7),MONTH(AB$7)+1,0)),"◆","")</f>
        <v/>
      </c>
      <c r="AC47" s="68" t="str">
        <f aca="false">IF(AND(ISNUMBER($D47),$D47&gt;=AC$7,$D47&lt;=DATE(YEAR(AC$7),MONTH(AC$7)+1,0)),"◆","")</f>
        <v/>
      </c>
      <c r="AD47" s="68" t="str">
        <f aca="false">IF(AND(ISNUMBER($D47),$D47&gt;=AD$7,$D47&lt;=DATE(YEAR(AD$7),MONTH(AD$7)+1,0)),"◆","")</f>
        <v/>
      </c>
      <c r="AE47" s="68" t="str">
        <f aca="false">IF(AND(ISNUMBER($D47),$D47&gt;=AE$7,$D47&lt;=DATE(YEAR(AE$7),MONTH(AE$7)+1,0)),"◆","")</f>
        <v/>
      </c>
      <c r="AF47" s="68" t="str">
        <f aca="false">IF(AND(ISNUMBER($D47),$D47&gt;=AF$7,$D47&lt;=DATE(YEAR(AF$7),MONTH(AF$7)+1,0)),"◆","")</f>
        <v/>
      </c>
      <c r="AG47" s="68" t="str">
        <f aca="false">IF(AND(ISNUMBER($D47),$D47&gt;=AG$7,$D47&lt;=DATE(YEAR(AG$7),MONTH(AG$7)+1,0)),"◆","")</f>
        <v/>
      </c>
      <c r="AH47" s="68" t="str">
        <f aca="false">IF(AND(ISNUMBER($D47),$D47&gt;=AH$7,$D47&lt;=DATE(YEAR(AH$7),MONTH(AH$7)+1,0)),"◆","")</f>
        <v/>
      </c>
      <c r="AI47" s="68" t="str">
        <f aca="false">IF(AND(ISNUMBER($D47),$D47&gt;=AI$7,$D47&lt;=DATE(YEAR(AI$7),MONTH(AI$7)+1,0)),"◆","")</f>
        <v/>
      </c>
    </row>
    <row r="48" customFormat="false" ht="21.75" hidden="false" customHeight="true" outlineLevel="0" collapsed="false">
      <c r="A48" s="29" t="str">
        <f aca="false">Milestones!A7</f>
        <v>MS-03</v>
      </c>
      <c r="B48" s="65" t="str">
        <f aca="false">Milestones!B7</f>
        <v>Penetration test (committed date)</v>
      </c>
      <c r="C48" s="66" t="str">
        <f aca="false">Milestones!D7</f>
        <v>Dependency</v>
      </c>
      <c r="D48" s="67" t="n">
        <f aca="false">Milestones!C7</f>
        <v>46339</v>
      </c>
      <c r="E48" s="50"/>
      <c r="F48" s="68" t="str">
        <f aca="false">IF(AND(ISNUMBER($D48),$D48&gt;=F$7,$D48&lt;=DATE(YEAR(F$7),MONTH(F$7)+1,0)),"◆","")</f>
        <v/>
      </c>
      <c r="G48" s="68" t="str">
        <f aca="false">IF(AND(ISNUMBER($D48),$D48&gt;=G$7,$D48&lt;=DATE(YEAR(G$7),MONTH(G$7)+1,0)),"◆","")</f>
        <v/>
      </c>
      <c r="H48" s="68" t="str">
        <f aca="false">IF(AND(ISNUMBER($D48),$D48&gt;=H$7,$D48&lt;=DATE(YEAR(H$7),MONTH(H$7)+1,0)),"◆","")</f>
        <v/>
      </c>
      <c r="I48" s="68" t="str">
        <f aca="false">IF(AND(ISNUMBER($D48),$D48&gt;=I$7,$D48&lt;=DATE(YEAR(I$7),MONTH(I$7)+1,0)),"◆","")</f>
        <v/>
      </c>
      <c r="J48" s="68" t="str">
        <f aca="false">IF(AND(ISNUMBER($D48),$D48&gt;=J$7,$D48&lt;=DATE(YEAR(J$7),MONTH(J$7)+1,0)),"◆","")</f>
        <v>◆</v>
      </c>
      <c r="K48" s="68" t="str">
        <f aca="false">IF(AND(ISNUMBER($D48),$D48&gt;=K$7,$D48&lt;=DATE(YEAR(K$7),MONTH(K$7)+1,0)),"◆","")</f>
        <v/>
      </c>
      <c r="L48" s="68" t="str">
        <f aca="false">IF(AND(ISNUMBER($D48),$D48&gt;=L$7,$D48&lt;=DATE(YEAR(L$7),MONTH(L$7)+1,0)),"◆","")</f>
        <v/>
      </c>
      <c r="M48" s="68" t="str">
        <f aca="false">IF(AND(ISNUMBER($D48),$D48&gt;=M$7,$D48&lt;=DATE(YEAR(M$7),MONTH(M$7)+1,0)),"◆","")</f>
        <v/>
      </c>
      <c r="N48" s="68" t="str">
        <f aca="false">IF(AND(ISNUMBER($D48),$D48&gt;=N$7,$D48&lt;=DATE(YEAR(N$7),MONTH(N$7)+1,0)),"◆","")</f>
        <v/>
      </c>
      <c r="O48" s="68" t="str">
        <f aca="false">IF(AND(ISNUMBER($D48),$D48&gt;=O$7,$D48&lt;=DATE(YEAR(O$7),MONTH(O$7)+1,0)),"◆","")</f>
        <v/>
      </c>
      <c r="P48" s="68" t="str">
        <f aca="false">IF(AND(ISNUMBER($D48),$D48&gt;=P$7,$D48&lt;=DATE(YEAR(P$7),MONTH(P$7)+1,0)),"◆","")</f>
        <v/>
      </c>
      <c r="Q48" s="68" t="str">
        <f aca="false">IF(AND(ISNUMBER($D48),$D48&gt;=Q$7,$D48&lt;=DATE(YEAR(Q$7),MONTH(Q$7)+1,0)),"◆","")</f>
        <v/>
      </c>
      <c r="R48" s="68" t="str">
        <f aca="false">IF(AND(ISNUMBER($D48),$D48&gt;=R$7,$D48&lt;=DATE(YEAR(R$7),MONTH(R$7)+1,0)),"◆","")</f>
        <v/>
      </c>
      <c r="S48" s="68" t="str">
        <f aca="false">IF(AND(ISNUMBER($D48),$D48&gt;=S$7,$D48&lt;=DATE(YEAR(S$7),MONTH(S$7)+1,0)),"◆","")</f>
        <v/>
      </c>
      <c r="T48" s="68" t="str">
        <f aca="false">IF(AND(ISNUMBER($D48),$D48&gt;=T$7,$D48&lt;=DATE(YEAR(T$7),MONTH(T$7)+1,0)),"◆","")</f>
        <v/>
      </c>
      <c r="U48" s="68" t="str">
        <f aca="false">IF(AND(ISNUMBER($D48),$D48&gt;=U$7,$D48&lt;=DATE(YEAR(U$7),MONTH(U$7)+1,0)),"◆","")</f>
        <v/>
      </c>
      <c r="V48" s="68" t="str">
        <f aca="false">IF(AND(ISNUMBER($D48),$D48&gt;=V$7,$D48&lt;=DATE(YEAR(V$7),MONTH(V$7)+1,0)),"◆","")</f>
        <v/>
      </c>
      <c r="W48" s="68" t="str">
        <f aca="false">IF(AND(ISNUMBER($D48),$D48&gt;=W$7,$D48&lt;=DATE(YEAR(W$7),MONTH(W$7)+1,0)),"◆","")</f>
        <v/>
      </c>
      <c r="X48" s="68" t="str">
        <f aca="false">IF(AND(ISNUMBER($D48),$D48&gt;=X$7,$D48&lt;=DATE(YEAR(X$7),MONTH(X$7)+1,0)),"◆","")</f>
        <v/>
      </c>
      <c r="Y48" s="68" t="str">
        <f aca="false">IF(AND(ISNUMBER($D48),$D48&gt;=Y$7,$D48&lt;=DATE(YEAR(Y$7),MONTH(Y$7)+1,0)),"◆","")</f>
        <v/>
      </c>
      <c r="Z48" s="68" t="str">
        <f aca="false">IF(AND(ISNUMBER($D48),$D48&gt;=Z$7,$D48&lt;=DATE(YEAR(Z$7),MONTH(Z$7)+1,0)),"◆","")</f>
        <v/>
      </c>
      <c r="AA48" s="68" t="str">
        <f aca="false">IF(AND(ISNUMBER($D48),$D48&gt;=AA$7,$D48&lt;=DATE(YEAR(AA$7),MONTH(AA$7)+1,0)),"◆","")</f>
        <v/>
      </c>
      <c r="AB48" s="68" t="str">
        <f aca="false">IF(AND(ISNUMBER($D48),$D48&gt;=AB$7,$D48&lt;=DATE(YEAR(AB$7),MONTH(AB$7)+1,0)),"◆","")</f>
        <v/>
      </c>
      <c r="AC48" s="68" t="str">
        <f aca="false">IF(AND(ISNUMBER($D48),$D48&gt;=AC$7,$D48&lt;=DATE(YEAR(AC$7),MONTH(AC$7)+1,0)),"◆","")</f>
        <v/>
      </c>
      <c r="AD48" s="68" t="str">
        <f aca="false">IF(AND(ISNUMBER($D48),$D48&gt;=AD$7,$D48&lt;=DATE(YEAR(AD$7),MONTH(AD$7)+1,0)),"◆","")</f>
        <v/>
      </c>
      <c r="AE48" s="68" t="str">
        <f aca="false">IF(AND(ISNUMBER($D48),$D48&gt;=AE$7,$D48&lt;=DATE(YEAR(AE$7),MONTH(AE$7)+1,0)),"◆","")</f>
        <v/>
      </c>
      <c r="AF48" s="68" t="str">
        <f aca="false">IF(AND(ISNUMBER($D48),$D48&gt;=AF$7,$D48&lt;=DATE(YEAR(AF$7),MONTH(AF$7)+1,0)),"◆","")</f>
        <v/>
      </c>
      <c r="AG48" s="68" t="str">
        <f aca="false">IF(AND(ISNUMBER($D48),$D48&gt;=AG$7,$D48&lt;=DATE(YEAR(AG$7),MONTH(AG$7)+1,0)),"◆","")</f>
        <v/>
      </c>
      <c r="AH48" s="68" t="str">
        <f aca="false">IF(AND(ISNUMBER($D48),$D48&gt;=AH$7,$D48&lt;=DATE(YEAR(AH$7),MONTH(AH$7)+1,0)),"◆","")</f>
        <v/>
      </c>
      <c r="AI48" s="68" t="str">
        <f aca="false">IF(AND(ISNUMBER($D48),$D48&gt;=AI$7,$D48&lt;=DATE(YEAR(AI$7),MONTH(AI$7)+1,0)),"◆","")</f>
        <v/>
      </c>
    </row>
    <row r="49" customFormat="false" ht="21.75" hidden="false" customHeight="true" outlineLevel="0" collapsed="false">
      <c r="A49" s="29" t="str">
        <f aca="false">Milestones!A8</f>
        <v>MS-04</v>
      </c>
      <c r="B49" s="65" t="str">
        <f aca="false">Milestones!B8</f>
        <v>Go-live go / no-go</v>
      </c>
      <c r="C49" s="66" t="str">
        <f aca="false">Milestones!D8</f>
        <v>Gate</v>
      </c>
      <c r="D49" s="67" t="n">
        <f aca="false">Milestones!C8</f>
        <v>46360</v>
      </c>
      <c r="E49" s="50"/>
      <c r="F49" s="68" t="str">
        <f aca="false">IF(AND(ISNUMBER($D49),$D49&gt;=F$7,$D49&lt;=DATE(YEAR(F$7),MONTH(F$7)+1,0)),"◆","")</f>
        <v/>
      </c>
      <c r="G49" s="68" t="str">
        <f aca="false">IF(AND(ISNUMBER($D49),$D49&gt;=G$7,$D49&lt;=DATE(YEAR(G$7),MONTH(G$7)+1,0)),"◆","")</f>
        <v/>
      </c>
      <c r="H49" s="68" t="str">
        <f aca="false">IF(AND(ISNUMBER($D49),$D49&gt;=H$7,$D49&lt;=DATE(YEAR(H$7),MONTH(H$7)+1,0)),"◆","")</f>
        <v/>
      </c>
      <c r="I49" s="68" t="str">
        <f aca="false">IF(AND(ISNUMBER($D49),$D49&gt;=I$7,$D49&lt;=DATE(YEAR(I$7),MONTH(I$7)+1,0)),"◆","")</f>
        <v/>
      </c>
      <c r="J49" s="68" t="str">
        <f aca="false">IF(AND(ISNUMBER($D49),$D49&gt;=J$7,$D49&lt;=DATE(YEAR(J$7),MONTH(J$7)+1,0)),"◆","")</f>
        <v/>
      </c>
      <c r="K49" s="68" t="str">
        <f aca="false">IF(AND(ISNUMBER($D49),$D49&gt;=K$7,$D49&lt;=DATE(YEAR(K$7),MONTH(K$7)+1,0)),"◆","")</f>
        <v>◆</v>
      </c>
      <c r="L49" s="68" t="str">
        <f aca="false">IF(AND(ISNUMBER($D49),$D49&gt;=L$7,$D49&lt;=DATE(YEAR(L$7),MONTH(L$7)+1,0)),"◆","")</f>
        <v/>
      </c>
      <c r="M49" s="68" t="str">
        <f aca="false">IF(AND(ISNUMBER($D49),$D49&gt;=M$7,$D49&lt;=DATE(YEAR(M$7),MONTH(M$7)+1,0)),"◆","")</f>
        <v/>
      </c>
      <c r="N49" s="68" t="str">
        <f aca="false">IF(AND(ISNUMBER($D49),$D49&gt;=N$7,$D49&lt;=DATE(YEAR(N$7),MONTH(N$7)+1,0)),"◆","")</f>
        <v/>
      </c>
      <c r="O49" s="68" t="str">
        <f aca="false">IF(AND(ISNUMBER($D49),$D49&gt;=O$7,$D49&lt;=DATE(YEAR(O$7),MONTH(O$7)+1,0)),"◆","")</f>
        <v/>
      </c>
      <c r="P49" s="68" t="str">
        <f aca="false">IF(AND(ISNUMBER($D49),$D49&gt;=P$7,$D49&lt;=DATE(YEAR(P$7),MONTH(P$7)+1,0)),"◆","")</f>
        <v/>
      </c>
      <c r="Q49" s="68" t="str">
        <f aca="false">IF(AND(ISNUMBER($D49),$D49&gt;=Q$7,$D49&lt;=DATE(YEAR(Q$7),MONTH(Q$7)+1,0)),"◆","")</f>
        <v/>
      </c>
      <c r="R49" s="68" t="str">
        <f aca="false">IF(AND(ISNUMBER($D49),$D49&gt;=R$7,$D49&lt;=DATE(YEAR(R$7),MONTH(R$7)+1,0)),"◆","")</f>
        <v/>
      </c>
      <c r="S49" s="68" t="str">
        <f aca="false">IF(AND(ISNUMBER($D49),$D49&gt;=S$7,$D49&lt;=DATE(YEAR(S$7),MONTH(S$7)+1,0)),"◆","")</f>
        <v/>
      </c>
      <c r="T49" s="68" t="str">
        <f aca="false">IF(AND(ISNUMBER($D49),$D49&gt;=T$7,$D49&lt;=DATE(YEAR(T$7),MONTH(T$7)+1,0)),"◆","")</f>
        <v/>
      </c>
      <c r="U49" s="68" t="str">
        <f aca="false">IF(AND(ISNUMBER($D49),$D49&gt;=U$7,$D49&lt;=DATE(YEAR(U$7),MONTH(U$7)+1,0)),"◆","")</f>
        <v/>
      </c>
      <c r="V49" s="68" t="str">
        <f aca="false">IF(AND(ISNUMBER($D49),$D49&gt;=V$7,$D49&lt;=DATE(YEAR(V$7),MONTH(V$7)+1,0)),"◆","")</f>
        <v/>
      </c>
      <c r="W49" s="68" t="str">
        <f aca="false">IF(AND(ISNUMBER($D49),$D49&gt;=W$7,$D49&lt;=DATE(YEAR(W$7),MONTH(W$7)+1,0)),"◆","")</f>
        <v/>
      </c>
      <c r="X49" s="68" t="str">
        <f aca="false">IF(AND(ISNUMBER($D49),$D49&gt;=X$7,$D49&lt;=DATE(YEAR(X$7),MONTH(X$7)+1,0)),"◆","")</f>
        <v/>
      </c>
      <c r="Y49" s="68" t="str">
        <f aca="false">IF(AND(ISNUMBER($D49),$D49&gt;=Y$7,$D49&lt;=DATE(YEAR(Y$7),MONTH(Y$7)+1,0)),"◆","")</f>
        <v/>
      </c>
      <c r="Z49" s="68" t="str">
        <f aca="false">IF(AND(ISNUMBER($D49),$D49&gt;=Z$7,$D49&lt;=DATE(YEAR(Z$7),MONTH(Z$7)+1,0)),"◆","")</f>
        <v/>
      </c>
      <c r="AA49" s="68" t="str">
        <f aca="false">IF(AND(ISNUMBER($D49),$D49&gt;=AA$7,$D49&lt;=DATE(YEAR(AA$7),MONTH(AA$7)+1,0)),"◆","")</f>
        <v/>
      </c>
      <c r="AB49" s="68" t="str">
        <f aca="false">IF(AND(ISNUMBER($D49),$D49&gt;=AB$7,$D49&lt;=DATE(YEAR(AB$7),MONTH(AB$7)+1,0)),"◆","")</f>
        <v/>
      </c>
      <c r="AC49" s="68" t="str">
        <f aca="false">IF(AND(ISNUMBER($D49),$D49&gt;=AC$7,$D49&lt;=DATE(YEAR(AC$7),MONTH(AC$7)+1,0)),"◆","")</f>
        <v/>
      </c>
      <c r="AD49" s="68" t="str">
        <f aca="false">IF(AND(ISNUMBER($D49),$D49&gt;=AD$7,$D49&lt;=DATE(YEAR(AD$7),MONTH(AD$7)+1,0)),"◆","")</f>
        <v/>
      </c>
      <c r="AE49" s="68" t="str">
        <f aca="false">IF(AND(ISNUMBER($D49),$D49&gt;=AE$7,$D49&lt;=DATE(YEAR(AE$7),MONTH(AE$7)+1,0)),"◆","")</f>
        <v/>
      </c>
      <c r="AF49" s="68" t="str">
        <f aca="false">IF(AND(ISNUMBER($D49),$D49&gt;=AF$7,$D49&lt;=DATE(YEAR(AF$7),MONTH(AF$7)+1,0)),"◆","")</f>
        <v/>
      </c>
      <c r="AG49" s="68" t="str">
        <f aca="false">IF(AND(ISNUMBER($D49),$D49&gt;=AG$7,$D49&lt;=DATE(YEAR(AG$7),MONTH(AG$7)+1,0)),"◆","")</f>
        <v/>
      </c>
      <c r="AH49" s="68" t="str">
        <f aca="false">IF(AND(ISNUMBER($D49),$D49&gt;=AH$7,$D49&lt;=DATE(YEAR(AH$7),MONTH(AH$7)+1,0)),"◆","")</f>
        <v/>
      </c>
      <c r="AI49" s="68" t="str">
        <f aca="false">IF(AND(ISNUMBER($D49),$D49&gt;=AI$7,$D49&lt;=DATE(YEAR(AI$7),MONTH(AI$7)+1,0)),"◆","")</f>
        <v/>
      </c>
    </row>
    <row r="50" customFormat="false" ht="21.75" hidden="false" customHeight="true" outlineLevel="0" collapsed="false">
      <c r="A50" s="29" t="str">
        <f aca="false">Milestones!A9</f>
        <v>MS-05</v>
      </c>
      <c r="B50" s="65" t="str">
        <f aca="false">Milestones!B9</f>
        <v>MVP go-live</v>
      </c>
      <c r="C50" s="66" t="str">
        <f aca="false">Milestones!D9</f>
        <v>Launch</v>
      </c>
      <c r="D50" s="67" t="n">
        <f aca="false">Milestones!C9</f>
        <v>46367</v>
      </c>
      <c r="E50" s="50"/>
      <c r="F50" s="68" t="str">
        <f aca="false">IF(AND(ISNUMBER($D50),$D50&gt;=F$7,$D50&lt;=DATE(YEAR(F$7),MONTH(F$7)+1,0)),"◆","")</f>
        <v/>
      </c>
      <c r="G50" s="68" t="str">
        <f aca="false">IF(AND(ISNUMBER($D50),$D50&gt;=G$7,$D50&lt;=DATE(YEAR(G$7),MONTH(G$7)+1,0)),"◆","")</f>
        <v/>
      </c>
      <c r="H50" s="68" t="str">
        <f aca="false">IF(AND(ISNUMBER($D50),$D50&gt;=H$7,$D50&lt;=DATE(YEAR(H$7),MONTH(H$7)+1,0)),"◆","")</f>
        <v/>
      </c>
      <c r="I50" s="68" t="str">
        <f aca="false">IF(AND(ISNUMBER($D50),$D50&gt;=I$7,$D50&lt;=DATE(YEAR(I$7),MONTH(I$7)+1,0)),"◆","")</f>
        <v/>
      </c>
      <c r="J50" s="68" t="str">
        <f aca="false">IF(AND(ISNUMBER($D50),$D50&gt;=J$7,$D50&lt;=DATE(YEAR(J$7),MONTH(J$7)+1,0)),"◆","")</f>
        <v/>
      </c>
      <c r="K50" s="68" t="str">
        <f aca="false">IF(AND(ISNUMBER($D50),$D50&gt;=K$7,$D50&lt;=DATE(YEAR(K$7),MONTH(K$7)+1,0)),"◆","")</f>
        <v>◆</v>
      </c>
      <c r="L50" s="68" t="str">
        <f aca="false">IF(AND(ISNUMBER($D50),$D50&gt;=L$7,$D50&lt;=DATE(YEAR(L$7),MONTH(L$7)+1,0)),"◆","")</f>
        <v/>
      </c>
      <c r="M50" s="68" t="str">
        <f aca="false">IF(AND(ISNUMBER($D50),$D50&gt;=M$7,$D50&lt;=DATE(YEAR(M$7),MONTH(M$7)+1,0)),"◆","")</f>
        <v/>
      </c>
      <c r="N50" s="68" t="str">
        <f aca="false">IF(AND(ISNUMBER($D50),$D50&gt;=N$7,$D50&lt;=DATE(YEAR(N$7),MONTH(N$7)+1,0)),"◆","")</f>
        <v/>
      </c>
      <c r="O50" s="68" t="str">
        <f aca="false">IF(AND(ISNUMBER($D50),$D50&gt;=O$7,$D50&lt;=DATE(YEAR(O$7),MONTH(O$7)+1,0)),"◆","")</f>
        <v/>
      </c>
      <c r="P50" s="68" t="str">
        <f aca="false">IF(AND(ISNUMBER($D50),$D50&gt;=P$7,$D50&lt;=DATE(YEAR(P$7),MONTH(P$7)+1,0)),"◆","")</f>
        <v/>
      </c>
      <c r="Q50" s="68" t="str">
        <f aca="false">IF(AND(ISNUMBER($D50),$D50&gt;=Q$7,$D50&lt;=DATE(YEAR(Q$7),MONTH(Q$7)+1,0)),"◆","")</f>
        <v/>
      </c>
      <c r="R50" s="68" t="str">
        <f aca="false">IF(AND(ISNUMBER($D50),$D50&gt;=R$7,$D50&lt;=DATE(YEAR(R$7),MONTH(R$7)+1,0)),"◆","")</f>
        <v/>
      </c>
      <c r="S50" s="68" t="str">
        <f aca="false">IF(AND(ISNUMBER($D50),$D50&gt;=S$7,$D50&lt;=DATE(YEAR(S$7),MONTH(S$7)+1,0)),"◆","")</f>
        <v/>
      </c>
      <c r="T50" s="68" t="str">
        <f aca="false">IF(AND(ISNUMBER($D50),$D50&gt;=T$7,$D50&lt;=DATE(YEAR(T$7),MONTH(T$7)+1,0)),"◆","")</f>
        <v/>
      </c>
      <c r="U50" s="68" t="str">
        <f aca="false">IF(AND(ISNUMBER($D50),$D50&gt;=U$7,$D50&lt;=DATE(YEAR(U$7),MONTH(U$7)+1,0)),"◆","")</f>
        <v/>
      </c>
      <c r="V50" s="68" t="str">
        <f aca="false">IF(AND(ISNUMBER($D50),$D50&gt;=V$7,$D50&lt;=DATE(YEAR(V$7),MONTH(V$7)+1,0)),"◆","")</f>
        <v/>
      </c>
      <c r="W50" s="68" t="str">
        <f aca="false">IF(AND(ISNUMBER($D50),$D50&gt;=W$7,$D50&lt;=DATE(YEAR(W$7),MONTH(W$7)+1,0)),"◆","")</f>
        <v/>
      </c>
      <c r="X50" s="68" t="str">
        <f aca="false">IF(AND(ISNUMBER($D50),$D50&gt;=X$7,$D50&lt;=DATE(YEAR(X$7),MONTH(X$7)+1,0)),"◆","")</f>
        <v/>
      </c>
      <c r="Y50" s="68" t="str">
        <f aca="false">IF(AND(ISNUMBER($D50),$D50&gt;=Y$7,$D50&lt;=DATE(YEAR(Y$7),MONTH(Y$7)+1,0)),"◆","")</f>
        <v/>
      </c>
      <c r="Z50" s="68" t="str">
        <f aca="false">IF(AND(ISNUMBER($D50),$D50&gt;=Z$7,$D50&lt;=DATE(YEAR(Z$7),MONTH(Z$7)+1,0)),"◆","")</f>
        <v/>
      </c>
      <c r="AA50" s="68" t="str">
        <f aca="false">IF(AND(ISNUMBER($D50),$D50&gt;=AA$7,$D50&lt;=DATE(YEAR(AA$7),MONTH(AA$7)+1,0)),"◆","")</f>
        <v/>
      </c>
      <c r="AB50" s="68" t="str">
        <f aca="false">IF(AND(ISNUMBER($D50),$D50&gt;=AB$7,$D50&lt;=DATE(YEAR(AB$7),MONTH(AB$7)+1,0)),"◆","")</f>
        <v/>
      </c>
      <c r="AC50" s="68" t="str">
        <f aca="false">IF(AND(ISNUMBER($D50),$D50&gt;=AC$7,$D50&lt;=DATE(YEAR(AC$7),MONTH(AC$7)+1,0)),"◆","")</f>
        <v/>
      </c>
      <c r="AD50" s="68" t="str">
        <f aca="false">IF(AND(ISNUMBER($D50),$D50&gt;=AD$7,$D50&lt;=DATE(YEAR(AD$7),MONTH(AD$7)+1,0)),"◆","")</f>
        <v/>
      </c>
      <c r="AE50" s="68" t="str">
        <f aca="false">IF(AND(ISNUMBER($D50),$D50&gt;=AE$7,$D50&lt;=DATE(YEAR(AE$7),MONTH(AE$7)+1,0)),"◆","")</f>
        <v/>
      </c>
      <c r="AF50" s="68" t="str">
        <f aca="false">IF(AND(ISNUMBER($D50),$D50&gt;=AF$7,$D50&lt;=DATE(YEAR(AF$7),MONTH(AF$7)+1,0)),"◆","")</f>
        <v/>
      </c>
      <c r="AG50" s="68" t="str">
        <f aca="false">IF(AND(ISNUMBER($D50),$D50&gt;=AG$7,$D50&lt;=DATE(YEAR(AG$7),MONTH(AG$7)+1,0)),"◆","")</f>
        <v/>
      </c>
      <c r="AH50" s="68" t="str">
        <f aca="false">IF(AND(ISNUMBER($D50),$D50&gt;=AH$7,$D50&lt;=DATE(YEAR(AH$7),MONTH(AH$7)+1,0)),"◆","")</f>
        <v/>
      </c>
      <c r="AI50" s="68" t="str">
        <f aca="false">IF(AND(ISNUMBER($D50),$D50&gt;=AI$7,$D50&lt;=DATE(YEAR(AI$7),MONTH(AI$7)+1,0)),"◆","")</f>
        <v/>
      </c>
    </row>
    <row r="51" customFormat="false" ht="21.75" hidden="false" customHeight="true" outlineLevel="0" collapsed="false">
      <c r="A51" s="29" t="str">
        <f aca="false">Milestones!A10</f>
        <v>MS-06</v>
      </c>
      <c r="B51" s="65" t="str">
        <f aca="false">Milestones!B10</f>
        <v>Hypercare exit review</v>
      </c>
      <c r="C51" s="66" t="str">
        <f aca="false">Milestones!D10</f>
        <v>Gate</v>
      </c>
      <c r="D51" s="67" t="n">
        <f aca="false">Milestones!C10</f>
        <v>46409</v>
      </c>
      <c r="E51" s="50"/>
      <c r="F51" s="68" t="str">
        <f aca="false">IF(AND(ISNUMBER($D51),$D51&gt;=F$7,$D51&lt;=DATE(YEAR(F$7),MONTH(F$7)+1,0)),"◆","")</f>
        <v/>
      </c>
      <c r="G51" s="68" t="str">
        <f aca="false">IF(AND(ISNUMBER($D51),$D51&gt;=G$7,$D51&lt;=DATE(YEAR(G$7),MONTH(G$7)+1,0)),"◆","")</f>
        <v/>
      </c>
      <c r="H51" s="68" t="str">
        <f aca="false">IF(AND(ISNUMBER($D51),$D51&gt;=H$7,$D51&lt;=DATE(YEAR(H$7),MONTH(H$7)+1,0)),"◆","")</f>
        <v/>
      </c>
      <c r="I51" s="68" t="str">
        <f aca="false">IF(AND(ISNUMBER($D51),$D51&gt;=I$7,$D51&lt;=DATE(YEAR(I$7),MONTH(I$7)+1,0)),"◆","")</f>
        <v/>
      </c>
      <c r="J51" s="68" t="str">
        <f aca="false">IF(AND(ISNUMBER($D51),$D51&gt;=J$7,$D51&lt;=DATE(YEAR(J$7),MONTH(J$7)+1,0)),"◆","")</f>
        <v/>
      </c>
      <c r="K51" s="68" t="str">
        <f aca="false">IF(AND(ISNUMBER($D51),$D51&gt;=K$7,$D51&lt;=DATE(YEAR(K$7),MONTH(K$7)+1,0)),"◆","")</f>
        <v/>
      </c>
      <c r="L51" s="68" t="str">
        <f aca="false">IF(AND(ISNUMBER($D51),$D51&gt;=L$7,$D51&lt;=DATE(YEAR(L$7),MONTH(L$7)+1,0)),"◆","")</f>
        <v>◆</v>
      </c>
      <c r="M51" s="68" t="str">
        <f aca="false">IF(AND(ISNUMBER($D51),$D51&gt;=M$7,$D51&lt;=DATE(YEAR(M$7),MONTH(M$7)+1,0)),"◆","")</f>
        <v/>
      </c>
      <c r="N51" s="68" t="str">
        <f aca="false">IF(AND(ISNUMBER($D51),$D51&gt;=N$7,$D51&lt;=DATE(YEAR(N$7),MONTH(N$7)+1,0)),"◆","")</f>
        <v/>
      </c>
      <c r="O51" s="68" t="str">
        <f aca="false">IF(AND(ISNUMBER($D51),$D51&gt;=O$7,$D51&lt;=DATE(YEAR(O$7),MONTH(O$7)+1,0)),"◆","")</f>
        <v/>
      </c>
      <c r="P51" s="68" t="str">
        <f aca="false">IF(AND(ISNUMBER($D51),$D51&gt;=P$7,$D51&lt;=DATE(YEAR(P$7),MONTH(P$7)+1,0)),"◆","")</f>
        <v/>
      </c>
      <c r="Q51" s="68" t="str">
        <f aca="false">IF(AND(ISNUMBER($D51),$D51&gt;=Q$7,$D51&lt;=DATE(YEAR(Q$7),MONTH(Q$7)+1,0)),"◆","")</f>
        <v/>
      </c>
      <c r="R51" s="68" t="str">
        <f aca="false">IF(AND(ISNUMBER($D51),$D51&gt;=R$7,$D51&lt;=DATE(YEAR(R$7),MONTH(R$7)+1,0)),"◆","")</f>
        <v/>
      </c>
      <c r="S51" s="68" t="str">
        <f aca="false">IF(AND(ISNUMBER($D51),$D51&gt;=S$7,$D51&lt;=DATE(YEAR(S$7),MONTH(S$7)+1,0)),"◆","")</f>
        <v/>
      </c>
      <c r="T51" s="68" t="str">
        <f aca="false">IF(AND(ISNUMBER($D51),$D51&gt;=T$7,$D51&lt;=DATE(YEAR(T$7),MONTH(T$7)+1,0)),"◆","")</f>
        <v/>
      </c>
      <c r="U51" s="68" t="str">
        <f aca="false">IF(AND(ISNUMBER($D51),$D51&gt;=U$7,$D51&lt;=DATE(YEAR(U$7),MONTH(U$7)+1,0)),"◆","")</f>
        <v/>
      </c>
      <c r="V51" s="68" t="str">
        <f aca="false">IF(AND(ISNUMBER($D51),$D51&gt;=V$7,$D51&lt;=DATE(YEAR(V$7),MONTH(V$7)+1,0)),"◆","")</f>
        <v/>
      </c>
      <c r="W51" s="68" t="str">
        <f aca="false">IF(AND(ISNUMBER($D51),$D51&gt;=W$7,$D51&lt;=DATE(YEAR(W$7),MONTH(W$7)+1,0)),"◆","")</f>
        <v/>
      </c>
      <c r="X51" s="68" t="str">
        <f aca="false">IF(AND(ISNUMBER($D51),$D51&gt;=X$7,$D51&lt;=DATE(YEAR(X$7),MONTH(X$7)+1,0)),"◆","")</f>
        <v/>
      </c>
      <c r="Y51" s="68" t="str">
        <f aca="false">IF(AND(ISNUMBER($D51),$D51&gt;=Y$7,$D51&lt;=DATE(YEAR(Y$7),MONTH(Y$7)+1,0)),"◆","")</f>
        <v/>
      </c>
      <c r="Z51" s="68" t="str">
        <f aca="false">IF(AND(ISNUMBER($D51),$D51&gt;=Z$7,$D51&lt;=DATE(YEAR(Z$7),MONTH(Z$7)+1,0)),"◆","")</f>
        <v/>
      </c>
      <c r="AA51" s="68" t="str">
        <f aca="false">IF(AND(ISNUMBER($D51),$D51&gt;=AA$7,$D51&lt;=DATE(YEAR(AA$7),MONTH(AA$7)+1,0)),"◆","")</f>
        <v/>
      </c>
      <c r="AB51" s="68" t="str">
        <f aca="false">IF(AND(ISNUMBER($D51),$D51&gt;=AB$7,$D51&lt;=DATE(YEAR(AB$7),MONTH(AB$7)+1,0)),"◆","")</f>
        <v/>
      </c>
      <c r="AC51" s="68" t="str">
        <f aca="false">IF(AND(ISNUMBER($D51),$D51&gt;=AC$7,$D51&lt;=DATE(YEAR(AC$7),MONTH(AC$7)+1,0)),"◆","")</f>
        <v/>
      </c>
      <c r="AD51" s="68" t="str">
        <f aca="false">IF(AND(ISNUMBER($D51),$D51&gt;=AD$7,$D51&lt;=DATE(YEAR(AD$7),MONTH(AD$7)+1,0)),"◆","")</f>
        <v/>
      </c>
      <c r="AE51" s="68" t="str">
        <f aca="false">IF(AND(ISNUMBER($D51),$D51&gt;=AE$7,$D51&lt;=DATE(YEAR(AE$7),MONTH(AE$7)+1,0)),"◆","")</f>
        <v/>
      </c>
      <c r="AF51" s="68" t="str">
        <f aca="false">IF(AND(ISNUMBER($D51),$D51&gt;=AF$7,$D51&lt;=DATE(YEAR(AF$7),MONTH(AF$7)+1,0)),"◆","")</f>
        <v/>
      </c>
      <c r="AG51" s="68" t="str">
        <f aca="false">IF(AND(ISNUMBER($D51),$D51&gt;=AG$7,$D51&lt;=DATE(YEAR(AG$7),MONTH(AG$7)+1,0)),"◆","")</f>
        <v/>
      </c>
      <c r="AH51" s="68" t="str">
        <f aca="false">IF(AND(ISNUMBER($D51),$D51&gt;=AH$7,$D51&lt;=DATE(YEAR(AH$7),MONTH(AH$7)+1,0)),"◆","")</f>
        <v/>
      </c>
      <c r="AI51" s="68" t="str">
        <f aca="false">IF(AND(ISNUMBER($D51),$D51&gt;=AI$7,$D51&lt;=DATE(YEAR(AI$7),MONTH(AI$7)+1,0)),"◆","")</f>
        <v/>
      </c>
    </row>
    <row r="52" customFormat="false" ht="21.75" hidden="false" customHeight="true" outlineLevel="0" collapsed="false">
      <c r="A52" s="29" t="str">
        <f aca="false">Milestones!A11</f>
        <v>MS-07</v>
      </c>
      <c r="B52" s="65" t="str">
        <f aca="false">Milestones!B11</f>
        <v>Pilot exit review and Wave 1 go / no-go</v>
      </c>
      <c r="C52" s="66" t="str">
        <f aca="false">Milestones!D11</f>
        <v>Gate</v>
      </c>
      <c r="D52" s="67" t="n">
        <f aca="false">Milestones!C11</f>
        <v>46457</v>
      </c>
      <c r="E52" s="50"/>
      <c r="F52" s="68" t="str">
        <f aca="false">IF(AND(ISNUMBER($D52),$D52&gt;=F$7,$D52&lt;=DATE(YEAR(F$7),MONTH(F$7)+1,0)),"◆","")</f>
        <v/>
      </c>
      <c r="G52" s="68" t="str">
        <f aca="false">IF(AND(ISNUMBER($D52),$D52&gt;=G$7,$D52&lt;=DATE(YEAR(G$7),MONTH(G$7)+1,0)),"◆","")</f>
        <v/>
      </c>
      <c r="H52" s="68" t="str">
        <f aca="false">IF(AND(ISNUMBER($D52),$D52&gt;=H$7,$D52&lt;=DATE(YEAR(H$7),MONTH(H$7)+1,0)),"◆","")</f>
        <v/>
      </c>
      <c r="I52" s="68" t="str">
        <f aca="false">IF(AND(ISNUMBER($D52),$D52&gt;=I$7,$D52&lt;=DATE(YEAR(I$7),MONTH(I$7)+1,0)),"◆","")</f>
        <v/>
      </c>
      <c r="J52" s="68" t="str">
        <f aca="false">IF(AND(ISNUMBER($D52),$D52&gt;=J$7,$D52&lt;=DATE(YEAR(J$7),MONTH(J$7)+1,0)),"◆","")</f>
        <v/>
      </c>
      <c r="K52" s="68" t="str">
        <f aca="false">IF(AND(ISNUMBER($D52),$D52&gt;=K$7,$D52&lt;=DATE(YEAR(K$7),MONTH(K$7)+1,0)),"◆","")</f>
        <v/>
      </c>
      <c r="L52" s="68" t="str">
        <f aca="false">IF(AND(ISNUMBER($D52),$D52&gt;=L$7,$D52&lt;=DATE(YEAR(L$7),MONTH(L$7)+1,0)),"◆","")</f>
        <v/>
      </c>
      <c r="M52" s="68" t="str">
        <f aca="false">IF(AND(ISNUMBER($D52),$D52&gt;=M$7,$D52&lt;=DATE(YEAR(M$7),MONTH(M$7)+1,0)),"◆","")</f>
        <v/>
      </c>
      <c r="N52" s="68" t="str">
        <f aca="false">IF(AND(ISNUMBER($D52),$D52&gt;=N$7,$D52&lt;=DATE(YEAR(N$7),MONTH(N$7)+1,0)),"◆","")</f>
        <v>◆</v>
      </c>
      <c r="O52" s="68" t="str">
        <f aca="false">IF(AND(ISNUMBER($D52),$D52&gt;=O$7,$D52&lt;=DATE(YEAR(O$7),MONTH(O$7)+1,0)),"◆","")</f>
        <v/>
      </c>
      <c r="P52" s="68" t="str">
        <f aca="false">IF(AND(ISNUMBER($D52),$D52&gt;=P$7,$D52&lt;=DATE(YEAR(P$7),MONTH(P$7)+1,0)),"◆","")</f>
        <v/>
      </c>
      <c r="Q52" s="68" t="str">
        <f aca="false">IF(AND(ISNUMBER($D52),$D52&gt;=Q$7,$D52&lt;=DATE(YEAR(Q$7),MONTH(Q$7)+1,0)),"◆","")</f>
        <v/>
      </c>
      <c r="R52" s="68" t="str">
        <f aca="false">IF(AND(ISNUMBER($D52),$D52&gt;=R$7,$D52&lt;=DATE(YEAR(R$7),MONTH(R$7)+1,0)),"◆","")</f>
        <v/>
      </c>
      <c r="S52" s="68" t="str">
        <f aca="false">IF(AND(ISNUMBER($D52),$D52&gt;=S$7,$D52&lt;=DATE(YEAR(S$7),MONTH(S$7)+1,0)),"◆","")</f>
        <v/>
      </c>
      <c r="T52" s="68" t="str">
        <f aca="false">IF(AND(ISNUMBER($D52),$D52&gt;=T$7,$D52&lt;=DATE(YEAR(T$7),MONTH(T$7)+1,0)),"◆","")</f>
        <v/>
      </c>
      <c r="U52" s="68" t="str">
        <f aca="false">IF(AND(ISNUMBER($D52),$D52&gt;=U$7,$D52&lt;=DATE(YEAR(U$7),MONTH(U$7)+1,0)),"◆","")</f>
        <v/>
      </c>
      <c r="V52" s="68" t="str">
        <f aca="false">IF(AND(ISNUMBER($D52),$D52&gt;=V$7,$D52&lt;=DATE(YEAR(V$7),MONTH(V$7)+1,0)),"◆","")</f>
        <v/>
      </c>
      <c r="W52" s="68" t="str">
        <f aca="false">IF(AND(ISNUMBER($D52),$D52&gt;=W$7,$D52&lt;=DATE(YEAR(W$7),MONTH(W$7)+1,0)),"◆","")</f>
        <v/>
      </c>
      <c r="X52" s="68" t="str">
        <f aca="false">IF(AND(ISNUMBER($D52),$D52&gt;=X$7,$D52&lt;=DATE(YEAR(X$7),MONTH(X$7)+1,0)),"◆","")</f>
        <v/>
      </c>
      <c r="Y52" s="68" t="str">
        <f aca="false">IF(AND(ISNUMBER($D52),$D52&gt;=Y$7,$D52&lt;=DATE(YEAR(Y$7),MONTH(Y$7)+1,0)),"◆","")</f>
        <v/>
      </c>
      <c r="Z52" s="68" t="str">
        <f aca="false">IF(AND(ISNUMBER($D52),$D52&gt;=Z$7,$D52&lt;=DATE(YEAR(Z$7),MONTH(Z$7)+1,0)),"◆","")</f>
        <v/>
      </c>
      <c r="AA52" s="68" t="str">
        <f aca="false">IF(AND(ISNUMBER($D52),$D52&gt;=AA$7,$D52&lt;=DATE(YEAR(AA$7),MONTH(AA$7)+1,0)),"◆","")</f>
        <v/>
      </c>
      <c r="AB52" s="68" t="str">
        <f aca="false">IF(AND(ISNUMBER($D52),$D52&gt;=AB$7,$D52&lt;=DATE(YEAR(AB$7),MONTH(AB$7)+1,0)),"◆","")</f>
        <v/>
      </c>
      <c r="AC52" s="68" t="str">
        <f aca="false">IF(AND(ISNUMBER($D52),$D52&gt;=AC$7,$D52&lt;=DATE(YEAR(AC$7),MONTH(AC$7)+1,0)),"◆","")</f>
        <v/>
      </c>
      <c r="AD52" s="68" t="str">
        <f aca="false">IF(AND(ISNUMBER($D52),$D52&gt;=AD$7,$D52&lt;=DATE(YEAR(AD$7),MONTH(AD$7)+1,0)),"◆","")</f>
        <v/>
      </c>
      <c r="AE52" s="68" t="str">
        <f aca="false">IF(AND(ISNUMBER($D52),$D52&gt;=AE$7,$D52&lt;=DATE(YEAR(AE$7),MONTH(AE$7)+1,0)),"◆","")</f>
        <v/>
      </c>
      <c r="AF52" s="68" t="str">
        <f aca="false">IF(AND(ISNUMBER($D52),$D52&gt;=AF$7,$D52&lt;=DATE(YEAR(AF$7),MONTH(AF$7)+1,0)),"◆","")</f>
        <v/>
      </c>
      <c r="AG52" s="68" t="str">
        <f aca="false">IF(AND(ISNUMBER($D52),$D52&gt;=AG$7,$D52&lt;=DATE(YEAR(AG$7),MONTH(AG$7)+1,0)),"◆","")</f>
        <v/>
      </c>
      <c r="AH52" s="68" t="str">
        <f aca="false">IF(AND(ISNUMBER($D52),$D52&gt;=AH$7,$D52&lt;=DATE(YEAR(AH$7),MONTH(AH$7)+1,0)),"◆","")</f>
        <v/>
      </c>
      <c r="AI52" s="68" t="str">
        <f aca="false">IF(AND(ISNUMBER($D52),$D52&gt;=AI$7,$D52&lt;=DATE(YEAR(AI$7),MONTH(AI$7)+1,0)),"◆","")</f>
        <v/>
      </c>
    </row>
    <row r="53" customFormat="false" ht="21.75" hidden="false" customHeight="true" outlineLevel="0" collapsed="false">
      <c r="A53" s="29" t="str">
        <f aca="false">Milestones!A12</f>
        <v>MS-08</v>
      </c>
      <c r="B53" s="65" t="str">
        <f aca="false">Milestones!B12</f>
        <v>Post-implementation review</v>
      </c>
      <c r="C53" s="66" t="str">
        <f aca="false">Milestones!D12</f>
        <v>Review</v>
      </c>
      <c r="D53" s="67" t="n">
        <f aca="false">Milestones!C12</f>
        <v>46492</v>
      </c>
      <c r="E53" s="50"/>
      <c r="F53" s="68" t="str">
        <f aca="false">IF(AND(ISNUMBER($D53),$D53&gt;=F$7,$D53&lt;=DATE(YEAR(F$7),MONTH(F$7)+1,0)),"◆","")</f>
        <v/>
      </c>
      <c r="G53" s="68" t="str">
        <f aca="false">IF(AND(ISNUMBER($D53),$D53&gt;=G$7,$D53&lt;=DATE(YEAR(G$7),MONTH(G$7)+1,0)),"◆","")</f>
        <v/>
      </c>
      <c r="H53" s="68" t="str">
        <f aca="false">IF(AND(ISNUMBER($D53),$D53&gt;=H$7,$D53&lt;=DATE(YEAR(H$7),MONTH(H$7)+1,0)),"◆","")</f>
        <v/>
      </c>
      <c r="I53" s="68" t="str">
        <f aca="false">IF(AND(ISNUMBER($D53),$D53&gt;=I$7,$D53&lt;=DATE(YEAR(I$7),MONTH(I$7)+1,0)),"◆","")</f>
        <v/>
      </c>
      <c r="J53" s="68" t="str">
        <f aca="false">IF(AND(ISNUMBER($D53),$D53&gt;=J$7,$D53&lt;=DATE(YEAR(J$7),MONTH(J$7)+1,0)),"◆","")</f>
        <v/>
      </c>
      <c r="K53" s="68" t="str">
        <f aca="false">IF(AND(ISNUMBER($D53),$D53&gt;=K$7,$D53&lt;=DATE(YEAR(K$7),MONTH(K$7)+1,0)),"◆","")</f>
        <v/>
      </c>
      <c r="L53" s="68" t="str">
        <f aca="false">IF(AND(ISNUMBER($D53),$D53&gt;=L$7,$D53&lt;=DATE(YEAR(L$7),MONTH(L$7)+1,0)),"◆","")</f>
        <v/>
      </c>
      <c r="M53" s="68" t="str">
        <f aca="false">IF(AND(ISNUMBER($D53),$D53&gt;=M$7,$D53&lt;=DATE(YEAR(M$7),MONTH(M$7)+1,0)),"◆","")</f>
        <v/>
      </c>
      <c r="N53" s="68" t="str">
        <f aca="false">IF(AND(ISNUMBER($D53),$D53&gt;=N$7,$D53&lt;=DATE(YEAR(N$7),MONTH(N$7)+1,0)),"◆","")</f>
        <v/>
      </c>
      <c r="O53" s="68" t="str">
        <f aca="false">IF(AND(ISNUMBER($D53),$D53&gt;=O$7,$D53&lt;=DATE(YEAR(O$7),MONTH(O$7)+1,0)),"◆","")</f>
        <v>◆</v>
      </c>
      <c r="P53" s="68" t="str">
        <f aca="false">IF(AND(ISNUMBER($D53),$D53&gt;=P$7,$D53&lt;=DATE(YEAR(P$7),MONTH(P$7)+1,0)),"◆","")</f>
        <v/>
      </c>
      <c r="Q53" s="68" t="str">
        <f aca="false">IF(AND(ISNUMBER($D53),$D53&gt;=Q$7,$D53&lt;=DATE(YEAR(Q$7),MONTH(Q$7)+1,0)),"◆","")</f>
        <v/>
      </c>
      <c r="R53" s="68" t="str">
        <f aca="false">IF(AND(ISNUMBER($D53),$D53&gt;=R$7,$D53&lt;=DATE(YEAR(R$7),MONTH(R$7)+1,0)),"◆","")</f>
        <v/>
      </c>
      <c r="S53" s="68" t="str">
        <f aca="false">IF(AND(ISNUMBER($D53),$D53&gt;=S$7,$D53&lt;=DATE(YEAR(S$7),MONTH(S$7)+1,0)),"◆","")</f>
        <v/>
      </c>
      <c r="T53" s="68" t="str">
        <f aca="false">IF(AND(ISNUMBER($D53),$D53&gt;=T$7,$D53&lt;=DATE(YEAR(T$7),MONTH(T$7)+1,0)),"◆","")</f>
        <v/>
      </c>
      <c r="U53" s="68" t="str">
        <f aca="false">IF(AND(ISNUMBER($D53),$D53&gt;=U$7,$D53&lt;=DATE(YEAR(U$7),MONTH(U$7)+1,0)),"◆","")</f>
        <v/>
      </c>
      <c r="V53" s="68" t="str">
        <f aca="false">IF(AND(ISNUMBER($D53),$D53&gt;=V$7,$D53&lt;=DATE(YEAR(V$7),MONTH(V$7)+1,0)),"◆","")</f>
        <v/>
      </c>
      <c r="W53" s="68" t="str">
        <f aca="false">IF(AND(ISNUMBER($D53),$D53&gt;=W$7,$D53&lt;=DATE(YEAR(W$7),MONTH(W$7)+1,0)),"◆","")</f>
        <v/>
      </c>
      <c r="X53" s="68" t="str">
        <f aca="false">IF(AND(ISNUMBER($D53),$D53&gt;=X$7,$D53&lt;=DATE(YEAR(X$7),MONTH(X$7)+1,0)),"◆","")</f>
        <v/>
      </c>
      <c r="Y53" s="68" t="str">
        <f aca="false">IF(AND(ISNUMBER($D53),$D53&gt;=Y$7,$D53&lt;=DATE(YEAR(Y$7),MONTH(Y$7)+1,0)),"◆","")</f>
        <v/>
      </c>
      <c r="Z53" s="68" t="str">
        <f aca="false">IF(AND(ISNUMBER($D53),$D53&gt;=Z$7,$D53&lt;=DATE(YEAR(Z$7),MONTH(Z$7)+1,0)),"◆","")</f>
        <v/>
      </c>
      <c r="AA53" s="68" t="str">
        <f aca="false">IF(AND(ISNUMBER($D53),$D53&gt;=AA$7,$D53&lt;=DATE(YEAR(AA$7),MONTH(AA$7)+1,0)),"◆","")</f>
        <v/>
      </c>
      <c r="AB53" s="68" t="str">
        <f aca="false">IF(AND(ISNUMBER($D53),$D53&gt;=AB$7,$D53&lt;=DATE(YEAR(AB$7),MONTH(AB$7)+1,0)),"◆","")</f>
        <v/>
      </c>
      <c r="AC53" s="68" t="str">
        <f aca="false">IF(AND(ISNUMBER($D53),$D53&gt;=AC$7,$D53&lt;=DATE(YEAR(AC$7),MONTH(AC$7)+1,0)),"◆","")</f>
        <v/>
      </c>
      <c r="AD53" s="68" t="str">
        <f aca="false">IF(AND(ISNUMBER($D53),$D53&gt;=AD$7,$D53&lt;=DATE(YEAR(AD$7),MONTH(AD$7)+1,0)),"◆","")</f>
        <v/>
      </c>
      <c r="AE53" s="68" t="str">
        <f aca="false">IF(AND(ISNUMBER($D53),$D53&gt;=AE$7,$D53&lt;=DATE(YEAR(AE$7),MONTH(AE$7)+1,0)),"◆","")</f>
        <v/>
      </c>
      <c r="AF53" s="68" t="str">
        <f aca="false">IF(AND(ISNUMBER($D53),$D53&gt;=AF$7,$D53&lt;=DATE(YEAR(AF$7),MONTH(AF$7)+1,0)),"◆","")</f>
        <v/>
      </c>
      <c r="AG53" s="68" t="str">
        <f aca="false">IF(AND(ISNUMBER($D53),$D53&gt;=AG$7,$D53&lt;=DATE(YEAR(AG$7),MONTH(AG$7)+1,0)),"◆","")</f>
        <v/>
      </c>
      <c r="AH53" s="68" t="str">
        <f aca="false">IF(AND(ISNUMBER($D53),$D53&gt;=AH$7,$D53&lt;=DATE(YEAR(AH$7),MONTH(AH$7)+1,0)),"◆","")</f>
        <v/>
      </c>
      <c r="AI53" s="68" t="str">
        <f aca="false">IF(AND(ISNUMBER($D53),$D53&gt;=AI$7,$D53&lt;=DATE(YEAR(AI$7),MONTH(AI$7)+1,0)),"◆","")</f>
        <v/>
      </c>
    </row>
    <row r="54" customFormat="false" ht="21.75" hidden="false" customHeight="true" outlineLevel="0" collapsed="false">
      <c r="A54" s="29" t="str">
        <f aca="false">Milestones!A13</f>
        <v>MS-09</v>
      </c>
      <c r="B54" s="65" t="str">
        <f aca="false">Milestones!B13</f>
        <v>Phase 2 funding decision</v>
      </c>
      <c r="C54" s="66" t="str">
        <f aca="false">Milestones!D13</f>
        <v>Decision</v>
      </c>
      <c r="D54" s="67" t="n">
        <f aca="false">Milestones!C13</f>
        <v>46534</v>
      </c>
      <c r="E54" s="50"/>
      <c r="F54" s="68" t="str">
        <f aca="false">IF(AND(ISNUMBER($D54),$D54&gt;=F$7,$D54&lt;=DATE(YEAR(F$7),MONTH(F$7)+1,0)),"◆","")</f>
        <v/>
      </c>
      <c r="G54" s="68" t="str">
        <f aca="false">IF(AND(ISNUMBER($D54),$D54&gt;=G$7,$D54&lt;=DATE(YEAR(G$7),MONTH(G$7)+1,0)),"◆","")</f>
        <v/>
      </c>
      <c r="H54" s="68" t="str">
        <f aca="false">IF(AND(ISNUMBER($D54),$D54&gt;=H$7,$D54&lt;=DATE(YEAR(H$7),MONTH(H$7)+1,0)),"◆","")</f>
        <v/>
      </c>
      <c r="I54" s="68" t="str">
        <f aca="false">IF(AND(ISNUMBER($D54),$D54&gt;=I$7,$D54&lt;=DATE(YEAR(I$7),MONTH(I$7)+1,0)),"◆","")</f>
        <v/>
      </c>
      <c r="J54" s="68" t="str">
        <f aca="false">IF(AND(ISNUMBER($D54),$D54&gt;=J$7,$D54&lt;=DATE(YEAR(J$7),MONTH(J$7)+1,0)),"◆","")</f>
        <v/>
      </c>
      <c r="K54" s="68" t="str">
        <f aca="false">IF(AND(ISNUMBER($D54),$D54&gt;=K$7,$D54&lt;=DATE(YEAR(K$7),MONTH(K$7)+1,0)),"◆","")</f>
        <v/>
      </c>
      <c r="L54" s="68" t="str">
        <f aca="false">IF(AND(ISNUMBER($D54),$D54&gt;=L$7,$D54&lt;=DATE(YEAR(L$7),MONTH(L$7)+1,0)),"◆","")</f>
        <v/>
      </c>
      <c r="M54" s="68" t="str">
        <f aca="false">IF(AND(ISNUMBER($D54),$D54&gt;=M$7,$D54&lt;=DATE(YEAR(M$7),MONTH(M$7)+1,0)),"◆","")</f>
        <v/>
      </c>
      <c r="N54" s="68" t="str">
        <f aca="false">IF(AND(ISNUMBER($D54),$D54&gt;=N$7,$D54&lt;=DATE(YEAR(N$7),MONTH(N$7)+1,0)),"◆","")</f>
        <v/>
      </c>
      <c r="O54" s="68" t="str">
        <f aca="false">IF(AND(ISNUMBER($D54),$D54&gt;=O$7,$D54&lt;=DATE(YEAR(O$7),MONTH(O$7)+1,0)),"◆","")</f>
        <v/>
      </c>
      <c r="P54" s="68" t="str">
        <f aca="false">IF(AND(ISNUMBER($D54),$D54&gt;=P$7,$D54&lt;=DATE(YEAR(P$7),MONTH(P$7)+1,0)),"◆","")</f>
        <v>◆</v>
      </c>
      <c r="Q54" s="68" t="str">
        <f aca="false">IF(AND(ISNUMBER($D54),$D54&gt;=Q$7,$D54&lt;=DATE(YEAR(Q$7),MONTH(Q$7)+1,0)),"◆","")</f>
        <v/>
      </c>
      <c r="R54" s="68" t="str">
        <f aca="false">IF(AND(ISNUMBER($D54),$D54&gt;=R$7,$D54&lt;=DATE(YEAR(R$7),MONTH(R$7)+1,0)),"◆","")</f>
        <v/>
      </c>
      <c r="S54" s="68" t="str">
        <f aca="false">IF(AND(ISNUMBER($D54),$D54&gt;=S$7,$D54&lt;=DATE(YEAR(S$7),MONTH(S$7)+1,0)),"◆","")</f>
        <v/>
      </c>
      <c r="T54" s="68" t="str">
        <f aca="false">IF(AND(ISNUMBER($D54),$D54&gt;=T$7,$D54&lt;=DATE(YEAR(T$7),MONTH(T$7)+1,0)),"◆","")</f>
        <v/>
      </c>
      <c r="U54" s="68" t="str">
        <f aca="false">IF(AND(ISNUMBER($D54),$D54&gt;=U$7,$D54&lt;=DATE(YEAR(U$7),MONTH(U$7)+1,0)),"◆","")</f>
        <v/>
      </c>
      <c r="V54" s="68" t="str">
        <f aca="false">IF(AND(ISNUMBER($D54),$D54&gt;=V$7,$D54&lt;=DATE(YEAR(V$7),MONTH(V$7)+1,0)),"◆","")</f>
        <v/>
      </c>
      <c r="W54" s="68" t="str">
        <f aca="false">IF(AND(ISNUMBER($D54),$D54&gt;=W$7,$D54&lt;=DATE(YEAR(W$7),MONTH(W$7)+1,0)),"◆","")</f>
        <v/>
      </c>
      <c r="X54" s="68" t="str">
        <f aca="false">IF(AND(ISNUMBER($D54),$D54&gt;=X$7,$D54&lt;=DATE(YEAR(X$7),MONTH(X$7)+1,0)),"◆","")</f>
        <v/>
      </c>
      <c r="Y54" s="68" t="str">
        <f aca="false">IF(AND(ISNUMBER($D54),$D54&gt;=Y$7,$D54&lt;=DATE(YEAR(Y$7),MONTH(Y$7)+1,0)),"◆","")</f>
        <v/>
      </c>
      <c r="Z54" s="68" t="str">
        <f aca="false">IF(AND(ISNUMBER($D54),$D54&gt;=Z$7,$D54&lt;=DATE(YEAR(Z$7),MONTH(Z$7)+1,0)),"◆","")</f>
        <v/>
      </c>
      <c r="AA54" s="68" t="str">
        <f aca="false">IF(AND(ISNUMBER($D54),$D54&gt;=AA$7,$D54&lt;=DATE(YEAR(AA$7),MONTH(AA$7)+1,0)),"◆","")</f>
        <v/>
      </c>
      <c r="AB54" s="68" t="str">
        <f aca="false">IF(AND(ISNUMBER($D54),$D54&gt;=AB$7,$D54&lt;=DATE(YEAR(AB$7),MONTH(AB$7)+1,0)),"◆","")</f>
        <v/>
      </c>
      <c r="AC54" s="68" t="str">
        <f aca="false">IF(AND(ISNUMBER($D54),$D54&gt;=AC$7,$D54&lt;=DATE(YEAR(AC$7),MONTH(AC$7)+1,0)),"◆","")</f>
        <v/>
      </c>
      <c r="AD54" s="68" t="str">
        <f aca="false">IF(AND(ISNUMBER($D54),$D54&gt;=AD$7,$D54&lt;=DATE(YEAR(AD$7),MONTH(AD$7)+1,0)),"◆","")</f>
        <v/>
      </c>
      <c r="AE54" s="68" t="str">
        <f aca="false">IF(AND(ISNUMBER($D54),$D54&gt;=AE$7,$D54&lt;=DATE(YEAR(AE$7),MONTH(AE$7)+1,0)),"◆","")</f>
        <v/>
      </c>
      <c r="AF54" s="68" t="str">
        <f aca="false">IF(AND(ISNUMBER($D54),$D54&gt;=AF$7,$D54&lt;=DATE(YEAR(AF$7),MONTH(AF$7)+1,0)),"◆","")</f>
        <v/>
      </c>
      <c r="AG54" s="68" t="str">
        <f aca="false">IF(AND(ISNUMBER($D54),$D54&gt;=AG$7,$D54&lt;=DATE(YEAR(AG$7),MONTH(AG$7)+1,0)),"◆","")</f>
        <v/>
      </c>
      <c r="AH54" s="68" t="str">
        <f aca="false">IF(AND(ISNUMBER($D54),$D54&gt;=AH$7,$D54&lt;=DATE(YEAR(AH$7),MONTH(AH$7)+1,0)),"◆","")</f>
        <v/>
      </c>
      <c r="AI54" s="68" t="str">
        <f aca="false">IF(AND(ISNUMBER($D54),$D54&gt;=AI$7,$D54&lt;=DATE(YEAR(AI$7),MONTH(AI$7)+1,0)),"◆","")</f>
        <v/>
      </c>
    </row>
    <row r="55" customFormat="false" ht="21.75" hidden="false" customHeight="true" outlineLevel="0" collapsed="false">
      <c r="A55" s="29" t="str">
        <f aca="false">Milestones!A14</f>
        <v>MS-10</v>
      </c>
      <c r="B55" s="65" t="str">
        <f aca="false">Milestones!B14</f>
        <v>Wave 2 go / no-go</v>
      </c>
      <c r="C55" s="66" t="str">
        <f aca="false">Milestones!D14</f>
        <v>Gate</v>
      </c>
      <c r="D55" s="67" t="n">
        <f aca="false">Milestones!C14</f>
        <v>46541</v>
      </c>
      <c r="E55" s="50"/>
      <c r="F55" s="68" t="str">
        <f aca="false">IF(AND(ISNUMBER($D55),$D55&gt;=F$7,$D55&lt;=DATE(YEAR(F$7),MONTH(F$7)+1,0)),"◆","")</f>
        <v/>
      </c>
      <c r="G55" s="68" t="str">
        <f aca="false">IF(AND(ISNUMBER($D55),$D55&gt;=G$7,$D55&lt;=DATE(YEAR(G$7),MONTH(G$7)+1,0)),"◆","")</f>
        <v/>
      </c>
      <c r="H55" s="68" t="str">
        <f aca="false">IF(AND(ISNUMBER($D55),$D55&gt;=H$7,$D55&lt;=DATE(YEAR(H$7),MONTH(H$7)+1,0)),"◆","")</f>
        <v/>
      </c>
      <c r="I55" s="68" t="str">
        <f aca="false">IF(AND(ISNUMBER($D55),$D55&gt;=I$7,$D55&lt;=DATE(YEAR(I$7),MONTH(I$7)+1,0)),"◆","")</f>
        <v/>
      </c>
      <c r="J55" s="68" t="str">
        <f aca="false">IF(AND(ISNUMBER($D55),$D55&gt;=J$7,$D55&lt;=DATE(YEAR(J$7),MONTH(J$7)+1,0)),"◆","")</f>
        <v/>
      </c>
      <c r="K55" s="68" t="str">
        <f aca="false">IF(AND(ISNUMBER($D55),$D55&gt;=K$7,$D55&lt;=DATE(YEAR(K$7),MONTH(K$7)+1,0)),"◆","")</f>
        <v/>
      </c>
      <c r="L55" s="68" t="str">
        <f aca="false">IF(AND(ISNUMBER($D55),$D55&gt;=L$7,$D55&lt;=DATE(YEAR(L$7),MONTH(L$7)+1,0)),"◆","")</f>
        <v/>
      </c>
      <c r="M55" s="68" t="str">
        <f aca="false">IF(AND(ISNUMBER($D55),$D55&gt;=M$7,$D55&lt;=DATE(YEAR(M$7),MONTH(M$7)+1,0)),"◆","")</f>
        <v/>
      </c>
      <c r="N55" s="68" t="str">
        <f aca="false">IF(AND(ISNUMBER($D55),$D55&gt;=N$7,$D55&lt;=DATE(YEAR(N$7),MONTH(N$7)+1,0)),"◆","")</f>
        <v/>
      </c>
      <c r="O55" s="68" t="str">
        <f aca="false">IF(AND(ISNUMBER($D55),$D55&gt;=O$7,$D55&lt;=DATE(YEAR(O$7),MONTH(O$7)+1,0)),"◆","")</f>
        <v/>
      </c>
      <c r="P55" s="68" t="str">
        <f aca="false">IF(AND(ISNUMBER($D55),$D55&gt;=P$7,$D55&lt;=DATE(YEAR(P$7),MONTH(P$7)+1,0)),"◆","")</f>
        <v/>
      </c>
      <c r="Q55" s="68" t="str">
        <f aca="false">IF(AND(ISNUMBER($D55),$D55&gt;=Q$7,$D55&lt;=DATE(YEAR(Q$7),MONTH(Q$7)+1,0)),"◆","")</f>
        <v>◆</v>
      </c>
      <c r="R55" s="68" t="str">
        <f aca="false">IF(AND(ISNUMBER($D55),$D55&gt;=R$7,$D55&lt;=DATE(YEAR(R$7),MONTH(R$7)+1,0)),"◆","")</f>
        <v/>
      </c>
      <c r="S55" s="68" t="str">
        <f aca="false">IF(AND(ISNUMBER($D55),$D55&gt;=S$7,$D55&lt;=DATE(YEAR(S$7),MONTH(S$7)+1,0)),"◆","")</f>
        <v/>
      </c>
      <c r="T55" s="68" t="str">
        <f aca="false">IF(AND(ISNUMBER($D55),$D55&gt;=T$7,$D55&lt;=DATE(YEAR(T$7),MONTH(T$7)+1,0)),"◆","")</f>
        <v/>
      </c>
      <c r="U55" s="68" t="str">
        <f aca="false">IF(AND(ISNUMBER($D55),$D55&gt;=U$7,$D55&lt;=DATE(YEAR(U$7),MONTH(U$7)+1,0)),"◆","")</f>
        <v/>
      </c>
      <c r="V55" s="68" t="str">
        <f aca="false">IF(AND(ISNUMBER($D55),$D55&gt;=V$7,$D55&lt;=DATE(YEAR(V$7),MONTH(V$7)+1,0)),"◆","")</f>
        <v/>
      </c>
      <c r="W55" s="68" t="str">
        <f aca="false">IF(AND(ISNUMBER($D55),$D55&gt;=W$7,$D55&lt;=DATE(YEAR(W$7),MONTH(W$7)+1,0)),"◆","")</f>
        <v/>
      </c>
      <c r="X55" s="68" t="str">
        <f aca="false">IF(AND(ISNUMBER($D55),$D55&gt;=X$7,$D55&lt;=DATE(YEAR(X$7),MONTH(X$7)+1,0)),"◆","")</f>
        <v/>
      </c>
      <c r="Y55" s="68" t="str">
        <f aca="false">IF(AND(ISNUMBER($D55),$D55&gt;=Y$7,$D55&lt;=DATE(YEAR(Y$7),MONTH(Y$7)+1,0)),"◆","")</f>
        <v/>
      </c>
      <c r="Z55" s="68" t="str">
        <f aca="false">IF(AND(ISNUMBER($D55),$D55&gt;=Z$7,$D55&lt;=DATE(YEAR(Z$7),MONTH(Z$7)+1,0)),"◆","")</f>
        <v/>
      </c>
      <c r="AA55" s="68" t="str">
        <f aca="false">IF(AND(ISNUMBER($D55),$D55&gt;=AA$7,$D55&lt;=DATE(YEAR(AA$7),MONTH(AA$7)+1,0)),"◆","")</f>
        <v/>
      </c>
      <c r="AB55" s="68" t="str">
        <f aca="false">IF(AND(ISNUMBER($D55),$D55&gt;=AB$7,$D55&lt;=DATE(YEAR(AB$7),MONTH(AB$7)+1,0)),"◆","")</f>
        <v/>
      </c>
      <c r="AC55" s="68" t="str">
        <f aca="false">IF(AND(ISNUMBER($D55),$D55&gt;=AC$7,$D55&lt;=DATE(YEAR(AC$7),MONTH(AC$7)+1,0)),"◆","")</f>
        <v/>
      </c>
      <c r="AD55" s="68" t="str">
        <f aca="false">IF(AND(ISNUMBER($D55),$D55&gt;=AD$7,$D55&lt;=DATE(YEAR(AD$7),MONTH(AD$7)+1,0)),"◆","")</f>
        <v/>
      </c>
      <c r="AE55" s="68" t="str">
        <f aca="false">IF(AND(ISNUMBER($D55),$D55&gt;=AE$7,$D55&lt;=DATE(YEAR(AE$7),MONTH(AE$7)+1,0)),"◆","")</f>
        <v/>
      </c>
      <c r="AF55" s="68" t="str">
        <f aca="false">IF(AND(ISNUMBER($D55),$D55&gt;=AF$7,$D55&lt;=DATE(YEAR(AF$7),MONTH(AF$7)+1,0)),"◆","")</f>
        <v/>
      </c>
      <c r="AG55" s="68" t="str">
        <f aca="false">IF(AND(ISNUMBER($D55),$D55&gt;=AG$7,$D55&lt;=DATE(YEAR(AG$7),MONTH(AG$7)+1,0)),"◆","")</f>
        <v/>
      </c>
      <c r="AH55" s="68" t="str">
        <f aca="false">IF(AND(ISNUMBER($D55),$D55&gt;=AH$7,$D55&lt;=DATE(YEAR(AH$7),MONTH(AH$7)+1,0)),"◆","")</f>
        <v/>
      </c>
      <c r="AI55" s="68" t="str">
        <f aca="false">IF(AND(ISNUMBER($D55),$D55&gt;=AI$7,$D55&lt;=DATE(YEAR(AI$7),MONTH(AI$7)+1,0)),"◆","")</f>
        <v/>
      </c>
    </row>
    <row r="56" customFormat="false" ht="21.75" hidden="false" customHeight="true" outlineLevel="0" collapsed="false">
      <c r="A56" s="29" t="str">
        <f aca="false">Milestones!A15</f>
        <v>MS-11</v>
      </c>
      <c r="B56" s="65" t="str">
        <f aca="false">Milestones!B15</f>
        <v>AI copilot model risk review</v>
      </c>
      <c r="C56" s="66" t="str">
        <f aca="false">Milestones!D15</f>
        <v>Decision</v>
      </c>
      <c r="D56" s="67" t="n">
        <f aca="false">Milestones!C15</f>
        <v>46555</v>
      </c>
      <c r="E56" s="50"/>
      <c r="F56" s="68" t="str">
        <f aca="false">IF(AND(ISNUMBER($D56),$D56&gt;=F$7,$D56&lt;=DATE(YEAR(F$7),MONTH(F$7)+1,0)),"◆","")</f>
        <v/>
      </c>
      <c r="G56" s="68" t="str">
        <f aca="false">IF(AND(ISNUMBER($D56),$D56&gt;=G$7,$D56&lt;=DATE(YEAR(G$7),MONTH(G$7)+1,0)),"◆","")</f>
        <v/>
      </c>
      <c r="H56" s="68" t="str">
        <f aca="false">IF(AND(ISNUMBER($D56),$D56&gt;=H$7,$D56&lt;=DATE(YEAR(H$7),MONTH(H$7)+1,0)),"◆","")</f>
        <v/>
      </c>
      <c r="I56" s="68" t="str">
        <f aca="false">IF(AND(ISNUMBER($D56),$D56&gt;=I$7,$D56&lt;=DATE(YEAR(I$7),MONTH(I$7)+1,0)),"◆","")</f>
        <v/>
      </c>
      <c r="J56" s="68" t="str">
        <f aca="false">IF(AND(ISNUMBER($D56),$D56&gt;=J$7,$D56&lt;=DATE(YEAR(J$7),MONTH(J$7)+1,0)),"◆","")</f>
        <v/>
      </c>
      <c r="K56" s="68" t="str">
        <f aca="false">IF(AND(ISNUMBER($D56),$D56&gt;=K$7,$D56&lt;=DATE(YEAR(K$7),MONTH(K$7)+1,0)),"◆","")</f>
        <v/>
      </c>
      <c r="L56" s="68" t="str">
        <f aca="false">IF(AND(ISNUMBER($D56),$D56&gt;=L$7,$D56&lt;=DATE(YEAR(L$7),MONTH(L$7)+1,0)),"◆","")</f>
        <v/>
      </c>
      <c r="M56" s="68" t="str">
        <f aca="false">IF(AND(ISNUMBER($D56),$D56&gt;=M$7,$D56&lt;=DATE(YEAR(M$7),MONTH(M$7)+1,0)),"◆","")</f>
        <v/>
      </c>
      <c r="N56" s="68" t="str">
        <f aca="false">IF(AND(ISNUMBER($D56),$D56&gt;=N$7,$D56&lt;=DATE(YEAR(N$7),MONTH(N$7)+1,0)),"◆","")</f>
        <v/>
      </c>
      <c r="O56" s="68" t="str">
        <f aca="false">IF(AND(ISNUMBER($D56),$D56&gt;=O$7,$D56&lt;=DATE(YEAR(O$7),MONTH(O$7)+1,0)),"◆","")</f>
        <v/>
      </c>
      <c r="P56" s="68" t="str">
        <f aca="false">IF(AND(ISNUMBER($D56),$D56&gt;=P$7,$D56&lt;=DATE(YEAR(P$7),MONTH(P$7)+1,0)),"◆","")</f>
        <v/>
      </c>
      <c r="Q56" s="68" t="str">
        <f aca="false">IF(AND(ISNUMBER($D56),$D56&gt;=Q$7,$D56&lt;=DATE(YEAR(Q$7),MONTH(Q$7)+1,0)),"◆","")</f>
        <v>◆</v>
      </c>
      <c r="R56" s="68" t="str">
        <f aca="false">IF(AND(ISNUMBER($D56),$D56&gt;=R$7,$D56&lt;=DATE(YEAR(R$7),MONTH(R$7)+1,0)),"◆","")</f>
        <v/>
      </c>
      <c r="S56" s="68" t="str">
        <f aca="false">IF(AND(ISNUMBER($D56),$D56&gt;=S$7,$D56&lt;=DATE(YEAR(S$7),MONTH(S$7)+1,0)),"◆","")</f>
        <v/>
      </c>
      <c r="T56" s="68" t="str">
        <f aca="false">IF(AND(ISNUMBER($D56),$D56&gt;=T$7,$D56&lt;=DATE(YEAR(T$7),MONTH(T$7)+1,0)),"◆","")</f>
        <v/>
      </c>
      <c r="U56" s="68" t="str">
        <f aca="false">IF(AND(ISNUMBER($D56),$D56&gt;=U$7,$D56&lt;=DATE(YEAR(U$7),MONTH(U$7)+1,0)),"◆","")</f>
        <v/>
      </c>
      <c r="V56" s="68" t="str">
        <f aca="false">IF(AND(ISNUMBER($D56),$D56&gt;=V$7,$D56&lt;=DATE(YEAR(V$7),MONTH(V$7)+1,0)),"◆","")</f>
        <v/>
      </c>
      <c r="W56" s="68" t="str">
        <f aca="false">IF(AND(ISNUMBER($D56),$D56&gt;=W$7,$D56&lt;=DATE(YEAR(W$7),MONTH(W$7)+1,0)),"◆","")</f>
        <v/>
      </c>
      <c r="X56" s="68" t="str">
        <f aca="false">IF(AND(ISNUMBER($D56),$D56&gt;=X$7,$D56&lt;=DATE(YEAR(X$7),MONTH(X$7)+1,0)),"◆","")</f>
        <v/>
      </c>
      <c r="Y56" s="68" t="str">
        <f aca="false">IF(AND(ISNUMBER($D56),$D56&gt;=Y$7,$D56&lt;=DATE(YEAR(Y$7),MONTH(Y$7)+1,0)),"◆","")</f>
        <v/>
      </c>
      <c r="Z56" s="68" t="str">
        <f aca="false">IF(AND(ISNUMBER($D56),$D56&gt;=Z$7,$D56&lt;=DATE(YEAR(Z$7),MONTH(Z$7)+1,0)),"◆","")</f>
        <v/>
      </c>
      <c r="AA56" s="68" t="str">
        <f aca="false">IF(AND(ISNUMBER($D56),$D56&gt;=AA$7,$D56&lt;=DATE(YEAR(AA$7),MONTH(AA$7)+1,0)),"◆","")</f>
        <v/>
      </c>
      <c r="AB56" s="68" t="str">
        <f aca="false">IF(AND(ISNUMBER($D56),$D56&gt;=AB$7,$D56&lt;=DATE(YEAR(AB$7),MONTH(AB$7)+1,0)),"◆","")</f>
        <v/>
      </c>
      <c r="AC56" s="68" t="str">
        <f aca="false">IF(AND(ISNUMBER($D56),$D56&gt;=AC$7,$D56&lt;=DATE(YEAR(AC$7),MONTH(AC$7)+1,0)),"◆","")</f>
        <v/>
      </c>
      <c r="AD56" s="68" t="str">
        <f aca="false">IF(AND(ISNUMBER($D56),$D56&gt;=AD$7,$D56&lt;=DATE(YEAR(AD$7),MONTH(AD$7)+1,0)),"◆","")</f>
        <v/>
      </c>
      <c r="AE56" s="68" t="str">
        <f aca="false">IF(AND(ISNUMBER($D56),$D56&gt;=AE$7,$D56&lt;=DATE(YEAR(AE$7),MONTH(AE$7)+1,0)),"◆","")</f>
        <v/>
      </c>
      <c r="AF56" s="68" t="str">
        <f aca="false">IF(AND(ISNUMBER($D56),$D56&gt;=AF$7,$D56&lt;=DATE(YEAR(AF$7),MONTH(AF$7)+1,0)),"◆","")</f>
        <v/>
      </c>
      <c r="AG56" s="68" t="str">
        <f aca="false">IF(AND(ISNUMBER($D56),$D56&gt;=AG$7,$D56&lt;=DATE(YEAR(AG$7),MONTH(AG$7)+1,0)),"◆","")</f>
        <v/>
      </c>
      <c r="AH56" s="68" t="str">
        <f aca="false">IF(AND(ISNUMBER($D56),$D56&gt;=AH$7,$D56&lt;=DATE(YEAR(AH$7),MONTH(AH$7)+1,0)),"◆","")</f>
        <v/>
      </c>
      <c r="AI56" s="68" t="str">
        <f aca="false">IF(AND(ISNUMBER($D56),$D56&gt;=AI$7,$D56&lt;=DATE(YEAR(AI$7),MONTH(AI$7)+1,0)),"◆","")</f>
        <v/>
      </c>
    </row>
    <row r="57" customFormat="false" ht="21.75" hidden="false" customHeight="true" outlineLevel="0" collapsed="false">
      <c r="A57" s="29" t="str">
        <f aca="false">Milestones!A16</f>
        <v>MS-12</v>
      </c>
      <c r="B57" s="65" t="str">
        <f aca="false">Milestones!B16</f>
        <v>General availability go / no-go</v>
      </c>
      <c r="C57" s="66" t="str">
        <f aca="false">Milestones!D16</f>
        <v>Gate</v>
      </c>
      <c r="D57" s="67" t="n">
        <f aca="false">Milestones!C16</f>
        <v>46660</v>
      </c>
      <c r="E57" s="50"/>
      <c r="F57" s="68" t="str">
        <f aca="false">IF(AND(ISNUMBER($D57),$D57&gt;=F$7,$D57&lt;=DATE(YEAR(F$7),MONTH(F$7)+1,0)),"◆","")</f>
        <v/>
      </c>
      <c r="G57" s="68" t="str">
        <f aca="false">IF(AND(ISNUMBER($D57),$D57&gt;=G$7,$D57&lt;=DATE(YEAR(G$7),MONTH(G$7)+1,0)),"◆","")</f>
        <v/>
      </c>
      <c r="H57" s="68" t="str">
        <f aca="false">IF(AND(ISNUMBER($D57),$D57&gt;=H$7,$D57&lt;=DATE(YEAR(H$7),MONTH(H$7)+1,0)),"◆","")</f>
        <v/>
      </c>
      <c r="I57" s="68" t="str">
        <f aca="false">IF(AND(ISNUMBER($D57),$D57&gt;=I$7,$D57&lt;=DATE(YEAR(I$7),MONTH(I$7)+1,0)),"◆","")</f>
        <v/>
      </c>
      <c r="J57" s="68" t="str">
        <f aca="false">IF(AND(ISNUMBER($D57),$D57&gt;=J$7,$D57&lt;=DATE(YEAR(J$7),MONTH(J$7)+1,0)),"◆","")</f>
        <v/>
      </c>
      <c r="K57" s="68" t="str">
        <f aca="false">IF(AND(ISNUMBER($D57),$D57&gt;=K$7,$D57&lt;=DATE(YEAR(K$7),MONTH(K$7)+1,0)),"◆","")</f>
        <v/>
      </c>
      <c r="L57" s="68" t="str">
        <f aca="false">IF(AND(ISNUMBER($D57),$D57&gt;=L$7,$D57&lt;=DATE(YEAR(L$7),MONTH(L$7)+1,0)),"◆","")</f>
        <v/>
      </c>
      <c r="M57" s="68" t="str">
        <f aca="false">IF(AND(ISNUMBER($D57),$D57&gt;=M$7,$D57&lt;=DATE(YEAR(M$7),MONTH(M$7)+1,0)),"◆","")</f>
        <v/>
      </c>
      <c r="N57" s="68" t="str">
        <f aca="false">IF(AND(ISNUMBER($D57),$D57&gt;=N$7,$D57&lt;=DATE(YEAR(N$7),MONTH(N$7)+1,0)),"◆","")</f>
        <v/>
      </c>
      <c r="O57" s="68" t="str">
        <f aca="false">IF(AND(ISNUMBER($D57),$D57&gt;=O$7,$D57&lt;=DATE(YEAR(O$7),MONTH(O$7)+1,0)),"◆","")</f>
        <v/>
      </c>
      <c r="P57" s="68" t="str">
        <f aca="false">IF(AND(ISNUMBER($D57),$D57&gt;=P$7,$D57&lt;=DATE(YEAR(P$7),MONTH(P$7)+1,0)),"◆","")</f>
        <v/>
      </c>
      <c r="Q57" s="68" t="str">
        <f aca="false">IF(AND(ISNUMBER($D57),$D57&gt;=Q$7,$D57&lt;=DATE(YEAR(Q$7),MONTH(Q$7)+1,0)),"◆","")</f>
        <v/>
      </c>
      <c r="R57" s="68" t="str">
        <f aca="false">IF(AND(ISNUMBER($D57),$D57&gt;=R$7,$D57&lt;=DATE(YEAR(R$7),MONTH(R$7)+1,0)),"◆","")</f>
        <v/>
      </c>
      <c r="S57" s="68" t="str">
        <f aca="false">IF(AND(ISNUMBER($D57),$D57&gt;=S$7,$D57&lt;=DATE(YEAR(S$7),MONTH(S$7)+1,0)),"◆","")</f>
        <v/>
      </c>
      <c r="T57" s="68" t="str">
        <f aca="false">IF(AND(ISNUMBER($D57),$D57&gt;=T$7,$D57&lt;=DATE(YEAR(T$7),MONTH(T$7)+1,0)),"◆","")</f>
        <v>◆</v>
      </c>
      <c r="U57" s="68" t="str">
        <f aca="false">IF(AND(ISNUMBER($D57),$D57&gt;=U$7,$D57&lt;=DATE(YEAR(U$7),MONTH(U$7)+1,0)),"◆","")</f>
        <v/>
      </c>
      <c r="V57" s="68" t="str">
        <f aca="false">IF(AND(ISNUMBER($D57),$D57&gt;=V$7,$D57&lt;=DATE(YEAR(V$7),MONTH(V$7)+1,0)),"◆","")</f>
        <v/>
      </c>
      <c r="W57" s="68" t="str">
        <f aca="false">IF(AND(ISNUMBER($D57),$D57&gt;=W$7,$D57&lt;=DATE(YEAR(W$7),MONTH(W$7)+1,0)),"◆","")</f>
        <v/>
      </c>
      <c r="X57" s="68" t="str">
        <f aca="false">IF(AND(ISNUMBER($D57),$D57&gt;=X$7,$D57&lt;=DATE(YEAR(X$7),MONTH(X$7)+1,0)),"◆","")</f>
        <v/>
      </c>
      <c r="Y57" s="68" t="str">
        <f aca="false">IF(AND(ISNUMBER($D57),$D57&gt;=Y$7,$D57&lt;=DATE(YEAR(Y$7),MONTH(Y$7)+1,0)),"◆","")</f>
        <v/>
      </c>
      <c r="Z57" s="68" t="str">
        <f aca="false">IF(AND(ISNUMBER($D57),$D57&gt;=Z$7,$D57&lt;=DATE(YEAR(Z$7),MONTH(Z$7)+1,0)),"◆","")</f>
        <v/>
      </c>
      <c r="AA57" s="68" t="str">
        <f aca="false">IF(AND(ISNUMBER($D57),$D57&gt;=AA$7,$D57&lt;=DATE(YEAR(AA$7),MONTH(AA$7)+1,0)),"◆","")</f>
        <v/>
      </c>
      <c r="AB57" s="68" t="str">
        <f aca="false">IF(AND(ISNUMBER($D57),$D57&gt;=AB$7,$D57&lt;=DATE(YEAR(AB$7),MONTH(AB$7)+1,0)),"◆","")</f>
        <v/>
      </c>
      <c r="AC57" s="68" t="str">
        <f aca="false">IF(AND(ISNUMBER($D57),$D57&gt;=AC$7,$D57&lt;=DATE(YEAR(AC$7),MONTH(AC$7)+1,0)),"◆","")</f>
        <v/>
      </c>
      <c r="AD57" s="68" t="str">
        <f aca="false">IF(AND(ISNUMBER($D57),$D57&gt;=AD$7,$D57&lt;=DATE(YEAR(AD$7),MONTH(AD$7)+1,0)),"◆","")</f>
        <v/>
      </c>
      <c r="AE57" s="68" t="str">
        <f aca="false">IF(AND(ISNUMBER($D57),$D57&gt;=AE$7,$D57&lt;=DATE(YEAR(AE$7),MONTH(AE$7)+1,0)),"◆","")</f>
        <v/>
      </c>
      <c r="AF57" s="68" t="str">
        <f aca="false">IF(AND(ISNUMBER($D57),$D57&gt;=AF$7,$D57&lt;=DATE(YEAR(AF$7),MONTH(AF$7)+1,0)),"◆","")</f>
        <v/>
      </c>
      <c r="AG57" s="68" t="str">
        <f aca="false">IF(AND(ISNUMBER($D57),$D57&gt;=AG$7,$D57&lt;=DATE(YEAR(AG$7),MONTH(AG$7)+1,0)),"◆","")</f>
        <v/>
      </c>
      <c r="AH57" s="68" t="str">
        <f aca="false">IF(AND(ISNUMBER($D57),$D57&gt;=AH$7,$D57&lt;=DATE(YEAR(AH$7),MONTH(AH$7)+1,0)),"◆","")</f>
        <v/>
      </c>
      <c r="AI57" s="68" t="str">
        <f aca="false">IF(AND(ISNUMBER($D57),$D57&gt;=AI$7,$D57&lt;=DATE(YEAR(AI$7),MONTH(AI$7)+1,0)),"◆","")</f>
        <v/>
      </c>
    </row>
    <row r="58" customFormat="false" ht="21.75" hidden="false" customHeight="true" outlineLevel="0" collapsed="false">
      <c r="A58" s="29" t="str">
        <f aca="false">Milestones!A17</f>
        <v>MS-13</v>
      </c>
      <c r="B58" s="65" t="str">
        <f aca="false">Milestones!B17</f>
        <v>2028 roadmap planning</v>
      </c>
      <c r="C58" s="66" t="str">
        <f aca="false">Milestones!D17</f>
        <v>Review</v>
      </c>
      <c r="D58" s="67" t="n">
        <f aca="false">Milestones!C17</f>
        <v>46721</v>
      </c>
      <c r="E58" s="50"/>
      <c r="F58" s="68" t="str">
        <f aca="false">IF(AND(ISNUMBER($D58),$D58&gt;=F$7,$D58&lt;=DATE(YEAR(F$7),MONTH(F$7)+1,0)),"◆","")</f>
        <v/>
      </c>
      <c r="G58" s="68" t="str">
        <f aca="false">IF(AND(ISNUMBER($D58),$D58&gt;=G$7,$D58&lt;=DATE(YEAR(G$7),MONTH(G$7)+1,0)),"◆","")</f>
        <v/>
      </c>
      <c r="H58" s="68" t="str">
        <f aca="false">IF(AND(ISNUMBER($D58),$D58&gt;=H$7,$D58&lt;=DATE(YEAR(H$7),MONTH(H$7)+1,0)),"◆","")</f>
        <v/>
      </c>
      <c r="I58" s="68" t="str">
        <f aca="false">IF(AND(ISNUMBER($D58),$D58&gt;=I$7,$D58&lt;=DATE(YEAR(I$7),MONTH(I$7)+1,0)),"◆","")</f>
        <v/>
      </c>
      <c r="J58" s="68" t="str">
        <f aca="false">IF(AND(ISNUMBER($D58),$D58&gt;=J$7,$D58&lt;=DATE(YEAR(J$7),MONTH(J$7)+1,0)),"◆","")</f>
        <v/>
      </c>
      <c r="K58" s="68" t="str">
        <f aca="false">IF(AND(ISNUMBER($D58),$D58&gt;=K$7,$D58&lt;=DATE(YEAR(K$7),MONTH(K$7)+1,0)),"◆","")</f>
        <v/>
      </c>
      <c r="L58" s="68" t="str">
        <f aca="false">IF(AND(ISNUMBER($D58),$D58&gt;=L$7,$D58&lt;=DATE(YEAR(L$7),MONTH(L$7)+1,0)),"◆","")</f>
        <v/>
      </c>
      <c r="M58" s="68" t="str">
        <f aca="false">IF(AND(ISNUMBER($D58),$D58&gt;=M$7,$D58&lt;=DATE(YEAR(M$7),MONTH(M$7)+1,0)),"◆","")</f>
        <v/>
      </c>
      <c r="N58" s="68" t="str">
        <f aca="false">IF(AND(ISNUMBER($D58),$D58&gt;=N$7,$D58&lt;=DATE(YEAR(N$7),MONTH(N$7)+1,0)),"◆","")</f>
        <v/>
      </c>
      <c r="O58" s="68" t="str">
        <f aca="false">IF(AND(ISNUMBER($D58),$D58&gt;=O$7,$D58&lt;=DATE(YEAR(O$7),MONTH(O$7)+1,0)),"◆","")</f>
        <v/>
      </c>
      <c r="P58" s="68" t="str">
        <f aca="false">IF(AND(ISNUMBER($D58),$D58&gt;=P$7,$D58&lt;=DATE(YEAR(P$7),MONTH(P$7)+1,0)),"◆","")</f>
        <v/>
      </c>
      <c r="Q58" s="68" t="str">
        <f aca="false">IF(AND(ISNUMBER($D58),$D58&gt;=Q$7,$D58&lt;=DATE(YEAR(Q$7),MONTH(Q$7)+1,0)),"◆","")</f>
        <v/>
      </c>
      <c r="R58" s="68" t="str">
        <f aca="false">IF(AND(ISNUMBER($D58),$D58&gt;=R$7,$D58&lt;=DATE(YEAR(R$7),MONTH(R$7)+1,0)),"◆","")</f>
        <v/>
      </c>
      <c r="S58" s="68" t="str">
        <f aca="false">IF(AND(ISNUMBER($D58),$D58&gt;=S$7,$D58&lt;=DATE(YEAR(S$7),MONTH(S$7)+1,0)),"◆","")</f>
        <v/>
      </c>
      <c r="T58" s="68" t="str">
        <f aca="false">IF(AND(ISNUMBER($D58),$D58&gt;=T$7,$D58&lt;=DATE(YEAR(T$7),MONTH(T$7)+1,0)),"◆","")</f>
        <v/>
      </c>
      <c r="U58" s="68" t="str">
        <f aca="false">IF(AND(ISNUMBER($D58),$D58&gt;=U$7,$D58&lt;=DATE(YEAR(U$7),MONTH(U$7)+1,0)),"◆","")</f>
        <v/>
      </c>
      <c r="V58" s="68" t="str">
        <f aca="false">IF(AND(ISNUMBER($D58),$D58&gt;=V$7,$D58&lt;=DATE(YEAR(V$7),MONTH(V$7)+1,0)),"◆","")</f>
        <v>◆</v>
      </c>
      <c r="W58" s="68" t="str">
        <f aca="false">IF(AND(ISNUMBER($D58),$D58&gt;=W$7,$D58&lt;=DATE(YEAR(W$7),MONTH(W$7)+1,0)),"◆","")</f>
        <v/>
      </c>
      <c r="X58" s="68" t="str">
        <f aca="false">IF(AND(ISNUMBER($D58),$D58&gt;=X$7,$D58&lt;=DATE(YEAR(X$7),MONTH(X$7)+1,0)),"◆","")</f>
        <v/>
      </c>
      <c r="Y58" s="68" t="str">
        <f aca="false">IF(AND(ISNUMBER($D58),$D58&gt;=Y$7,$D58&lt;=DATE(YEAR(Y$7),MONTH(Y$7)+1,0)),"◆","")</f>
        <v/>
      </c>
      <c r="Z58" s="68" t="str">
        <f aca="false">IF(AND(ISNUMBER($D58),$D58&gt;=Z$7,$D58&lt;=DATE(YEAR(Z$7),MONTH(Z$7)+1,0)),"◆","")</f>
        <v/>
      </c>
      <c r="AA58" s="68" t="str">
        <f aca="false">IF(AND(ISNUMBER($D58),$D58&gt;=AA$7,$D58&lt;=DATE(YEAR(AA$7),MONTH(AA$7)+1,0)),"◆","")</f>
        <v/>
      </c>
      <c r="AB58" s="68" t="str">
        <f aca="false">IF(AND(ISNUMBER($D58),$D58&gt;=AB$7,$D58&lt;=DATE(YEAR(AB$7),MONTH(AB$7)+1,0)),"◆","")</f>
        <v/>
      </c>
      <c r="AC58" s="68" t="str">
        <f aca="false">IF(AND(ISNUMBER($D58),$D58&gt;=AC$7,$D58&lt;=DATE(YEAR(AC$7),MONTH(AC$7)+1,0)),"◆","")</f>
        <v/>
      </c>
      <c r="AD58" s="68" t="str">
        <f aca="false">IF(AND(ISNUMBER($D58),$D58&gt;=AD$7,$D58&lt;=DATE(YEAR(AD$7),MONTH(AD$7)+1,0)),"◆","")</f>
        <v/>
      </c>
      <c r="AE58" s="68" t="str">
        <f aca="false">IF(AND(ISNUMBER($D58),$D58&gt;=AE$7,$D58&lt;=DATE(YEAR(AE$7),MONTH(AE$7)+1,0)),"◆","")</f>
        <v/>
      </c>
      <c r="AF58" s="68" t="str">
        <f aca="false">IF(AND(ISNUMBER($D58),$D58&gt;=AF$7,$D58&lt;=DATE(YEAR(AF$7),MONTH(AF$7)+1,0)),"◆","")</f>
        <v/>
      </c>
      <c r="AG58" s="68" t="str">
        <f aca="false">IF(AND(ISNUMBER($D58),$D58&gt;=AG$7,$D58&lt;=DATE(YEAR(AG$7),MONTH(AG$7)+1,0)),"◆","")</f>
        <v/>
      </c>
      <c r="AH58" s="68" t="str">
        <f aca="false">IF(AND(ISNUMBER($D58),$D58&gt;=AH$7,$D58&lt;=DATE(YEAR(AH$7),MONTH(AH$7)+1,0)),"◆","")</f>
        <v/>
      </c>
      <c r="AI58" s="68" t="str">
        <f aca="false">IF(AND(ISNUMBER($D58),$D58&gt;=AI$7,$D58&lt;=DATE(YEAR(AI$7),MONTH(AI$7)+1,0)),"◆","")</f>
        <v/>
      </c>
    </row>
    <row r="59" customFormat="false" ht="21.75" hidden="false" customHeight="true" outlineLevel="0" collapsed="false">
      <c r="A59" s="29" t="str">
        <f aca="false">Milestones!A18</f>
        <v>MS-14</v>
      </c>
      <c r="B59" s="65" t="str">
        <f aca="false">Milestones!B18</f>
        <v>Year 1 benefits review</v>
      </c>
      <c r="C59" s="66" t="str">
        <f aca="false">Milestones!D18</f>
        <v>Review</v>
      </c>
      <c r="D59" s="67" t="n">
        <f aca="false">Milestones!C18</f>
        <v>46779</v>
      </c>
      <c r="E59" s="50"/>
      <c r="F59" s="68" t="str">
        <f aca="false">IF(AND(ISNUMBER($D59),$D59&gt;=F$7,$D59&lt;=DATE(YEAR(F$7),MONTH(F$7)+1,0)),"◆","")</f>
        <v/>
      </c>
      <c r="G59" s="68" t="str">
        <f aca="false">IF(AND(ISNUMBER($D59),$D59&gt;=G$7,$D59&lt;=DATE(YEAR(G$7),MONTH(G$7)+1,0)),"◆","")</f>
        <v/>
      </c>
      <c r="H59" s="68" t="str">
        <f aca="false">IF(AND(ISNUMBER($D59),$D59&gt;=H$7,$D59&lt;=DATE(YEAR(H$7),MONTH(H$7)+1,0)),"◆","")</f>
        <v/>
      </c>
      <c r="I59" s="68" t="str">
        <f aca="false">IF(AND(ISNUMBER($D59),$D59&gt;=I$7,$D59&lt;=DATE(YEAR(I$7),MONTH(I$7)+1,0)),"◆","")</f>
        <v/>
      </c>
      <c r="J59" s="68" t="str">
        <f aca="false">IF(AND(ISNUMBER($D59),$D59&gt;=J$7,$D59&lt;=DATE(YEAR(J$7),MONTH(J$7)+1,0)),"◆","")</f>
        <v/>
      </c>
      <c r="K59" s="68" t="str">
        <f aca="false">IF(AND(ISNUMBER($D59),$D59&gt;=K$7,$D59&lt;=DATE(YEAR(K$7),MONTH(K$7)+1,0)),"◆","")</f>
        <v/>
      </c>
      <c r="L59" s="68" t="str">
        <f aca="false">IF(AND(ISNUMBER($D59),$D59&gt;=L$7,$D59&lt;=DATE(YEAR(L$7),MONTH(L$7)+1,0)),"◆","")</f>
        <v/>
      </c>
      <c r="M59" s="68" t="str">
        <f aca="false">IF(AND(ISNUMBER($D59),$D59&gt;=M$7,$D59&lt;=DATE(YEAR(M$7),MONTH(M$7)+1,0)),"◆","")</f>
        <v/>
      </c>
      <c r="N59" s="68" t="str">
        <f aca="false">IF(AND(ISNUMBER($D59),$D59&gt;=N$7,$D59&lt;=DATE(YEAR(N$7),MONTH(N$7)+1,0)),"◆","")</f>
        <v/>
      </c>
      <c r="O59" s="68" t="str">
        <f aca="false">IF(AND(ISNUMBER($D59),$D59&gt;=O$7,$D59&lt;=DATE(YEAR(O$7),MONTH(O$7)+1,0)),"◆","")</f>
        <v/>
      </c>
      <c r="P59" s="68" t="str">
        <f aca="false">IF(AND(ISNUMBER($D59),$D59&gt;=P$7,$D59&lt;=DATE(YEAR(P$7),MONTH(P$7)+1,0)),"◆","")</f>
        <v/>
      </c>
      <c r="Q59" s="68" t="str">
        <f aca="false">IF(AND(ISNUMBER($D59),$D59&gt;=Q$7,$D59&lt;=DATE(YEAR(Q$7),MONTH(Q$7)+1,0)),"◆","")</f>
        <v/>
      </c>
      <c r="R59" s="68" t="str">
        <f aca="false">IF(AND(ISNUMBER($D59),$D59&gt;=R$7,$D59&lt;=DATE(YEAR(R$7),MONTH(R$7)+1,0)),"◆","")</f>
        <v/>
      </c>
      <c r="S59" s="68" t="str">
        <f aca="false">IF(AND(ISNUMBER($D59),$D59&gt;=S$7,$D59&lt;=DATE(YEAR(S$7),MONTH(S$7)+1,0)),"◆","")</f>
        <v/>
      </c>
      <c r="T59" s="68" t="str">
        <f aca="false">IF(AND(ISNUMBER($D59),$D59&gt;=T$7,$D59&lt;=DATE(YEAR(T$7),MONTH(T$7)+1,0)),"◆","")</f>
        <v/>
      </c>
      <c r="U59" s="68" t="str">
        <f aca="false">IF(AND(ISNUMBER($D59),$D59&gt;=U$7,$D59&lt;=DATE(YEAR(U$7),MONTH(U$7)+1,0)),"◆","")</f>
        <v/>
      </c>
      <c r="V59" s="68" t="str">
        <f aca="false">IF(AND(ISNUMBER($D59),$D59&gt;=V$7,$D59&lt;=DATE(YEAR(V$7),MONTH(V$7)+1,0)),"◆","")</f>
        <v/>
      </c>
      <c r="W59" s="68" t="str">
        <f aca="false">IF(AND(ISNUMBER($D59),$D59&gt;=W$7,$D59&lt;=DATE(YEAR(W$7),MONTH(W$7)+1,0)),"◆","")</f>
        <v/>
      </c>
      <c r="X59" s="68" t="str">
        <f aca="false">IF(AND(ISNUMBER($D59),$D59&gt;=X$7,$D59&lt;=DATE(YEAR(X$7),MONTH(X$7)+1,0)),"◆","")</f>
        <v>◆</v>
      </c>
      <c r="Y59" s="68" t="str">
        <f aca="false">IF(AND(ISNUMBER($D59),$D59&gt;=Y$7,$D59&lt;=DATE(YEAR(Y$7),MONTH(Y$7)+1,0)),"◆","")</f>
        <v/>
      </c>
      <c r="Z59" s="68" t="str">
        <f aca="false">IF(AND(ISNUMBER($D59),$D59&gt;=Z$7,$D59&lt;=DATE(YEAR(Z$7),MONTH(Z$7)+1,0)),"◆","")</f>
        <v/>
      </c>
      <c r="AA59" s="68" t="str">
        <f aca="false">IF(AND(ISNUMBER($D59),$D59&gt;=AA$7,$D59&lt;=DATE(YEAR(AA$7),MONTH(AA$7)+1,0)),"◆","")</f>
        <v/>
      </c>
      <c r="AB59" s="68" t="str">
        <f aca="false">IF(AND(ISNUMBER($D59),$D59&gt;=AB$7,$D59&lt;=DATE(YEAR(AB$7),MONTH(AB$7)+1,0)),"◆","")</f>
        <v/>
      </c>
      <c r="AC59" s="68" t="str">
        <f aca="false">IF(AND(ISNUMBER($D59),$D59&gt;=AC$7,$D59&lt;=DATE(YEAR(AC$7),MONTH(AC$7)+1,0)),"◆","")</f>
        <v/>
      </c>
      <c r="AD59" s="68" t="str">
        <f aca="false">IF(AND(ISNUMBER($D59),$D59&gt;=AD$7,$D59&lt;=DATE(YEAR(AD$7),MONTH(AD$7)+1,0)),"◆","")</f>
        <v/>
      </c>
      <c r="AE59" s="68" t="str">
        <f aca="false">IF(AND(ISNUMBER($D59),$D59&gt;=AE$7,$D59&lt;=DATE(YEAR(AE$7),MONTH(AE$7)+1,0)),"◆","")</f>
        <v/>
      </c>
      <c r="AF59" s="68" t="str">
        <f aca="false">IF(AND(ISNUMBER($D59),$D59&gt;=AF$7,$D59&lt;=DATE(YEAR(AF$7),MONTH(AF$7)+1,0)),"◆","")</f>
        <v/>
      </c>
      <c r="AG59" s="68" t="str">
        <f aca="false">IF(AND(ISNUMBER($D59),$D59&gt;=AG$7,$D59&lt;=DATE(YEAR(AG$7),MONTH(AG$7)+1,0)),"◆","")</f>
        <v/>
      </c>
      <c r="AH59" s="68" t="str">
        <f aca="false">IF(AND(ISNUMBER($D59),$D59&gt;=AH$7,$D59&lt;=DATE(YEAR(AH$7),MONTH(AH$7)+1,0)),"◆","")</f>
        <v/>
      </c>
      <c r="AI59" s="68" t="str">
        <f aca="false">IF(AND(ISNUMBER($D59),$D59&gt;=AI$7,$D59&lt;=DATE(YEAR(AI$7),MONTH(AI$7)+1,0)),"◆","")</f>
        <v/>
      </c>
    </row>
    <row r="61" customFormat="false" ht="15" hidden="false" customHeight="false" outlineLevel="0" collapsed="false">
      <c r="B61" s="69" t="s">
        <v>147</v>
      </c>
    </row>
  </sheetData>
  <mergeCells count="19">
    <mergeCell ref="F3:I3"/>
    <mergeCell ref="J3:M3"/>
    <mergeCell ref="N3:Q3"/>
    <mergeCell ref="R3:U3"/>
    <mergeCell ref="V3:Y3"/>
    <mergeCell ref="Z3:AD3"/>
    <mergeCell ref="F5:K5"/>
    <mergeCell ref="L5:W5"/>
    <mergeCell ref="X5:AI5"/>
    <mergeCell ref="F6:H6"/>
    <mergeCell ref="I6:K6"/>
    <mergeCell ref="L6:N6"/>
    <mergeCell ref="O6:Q6"/>
    <mergeCell ref="R6:T6"/>
    <mergeCell ref="U6:W6"/>
    <mergeCell ref="X6:Z6"/>
    <mergeCell ref="AA6:AC6"/>
    <mergeCell ref="AD6:AF6"/>
    <mergeCell ref="AG6:AI6"/>
  </mergeCells>
  <conditionalFormatting sqref="F8:AI43">
    <cfRule type="expression" priority="2" aboveAverage="0" equalAverage="0" bottom="0" percent="0" rank="0" text="" dxfId="4">
      <formula>AND(ISNUMBER($D8),F$7&lt;=$E8,DATE(YEAR(F$7),MONTH(F$7)+1,0)&gt;=$D8,$C8="Done")</formula>
    </cfRule>
    <cfRule type="expression" priority="3" aboveAverage="0" equalAverage="0" bottom="0" percent="0" rank="0" text="" dxfId="5">
      <formula>AND(ISNUMBER($D8),F$7&lt;=$E8,DATE(YEAR(F$7),MONTH(F$7)+1,0)&gt;=$D8,$C8="In progress")</formula>
    </cfRule>
    <cfRule type="expression" priority="4" aboveAverage="0" equalAverage="0" bottom="0" percent="0" rank="0" text="" dxfId="6">
      <formula>AND(ISNUMBER($D8),F$7&lt;=$E8,DATE(YEAR(F$7),MONTH(F$7)+1,0)&gt;=$D8,$C8="Committed")</formula>
    </cfRule>
    <cfRule type="expression" priority="5" aboveAverage="0" equalAverage="0" bottom="0" percent="0" rank="0" text="" dxfId="7">
      <formula>AND(ISNUMBER($D8),F$7&lt;=$E8,DATE(YEAR(F$7),MONTH(F$7)+1,0)&gt;=$D8,$C8="Planned")</formula>
    </cfRule>
    <cfRule type="expression" priority="6" aboveAverage="0" equalAverage="0" bottom="0" percent="0" rank="0" text="" dxfId="8">
      <formula>AND(ISNUMBER($D8),F$7&lt;=$E8,DATE(YEAR(F$7),MONTH(F$7)+1,0)&gt;=$D8,$C8="Exploring")</formula>
    </cfRule>
    <cfRule type="expression" priority="7" aboveAverage="0" equalAverage="0" bottom="0" percent="0" rank="0" text="" dxfId="9">
      <formula>AND(ISNUMBER($D8),F$7&lt;=$E8,DATE(YEAR(F$7),MONTH(F$7)+1,0)&gt;=$D8,$C8="Idea")</formula>
    </cfRule>
    <cfRule type="expression" priority="8" aboveAverage="0" equalAverage="0" bottom="0" percent="0" rank="0" text="" dxfId="10">
      <formula>AND(ISNUMBER($D8),F$7&lt;=$E8,DATE(YEAR(F$7),MONTH(F$7)+1,0)&gt;=$D8,$C8="Pending decision")</formula>
    </cfRule>
    <cfRule type="expression" priority="9" aboveAverage="0" equalAverage="0" bottom="0" percent="0" rank="0" text="" dxfId="11">
      <formula>AND(F$7&lt;=Cover!$C$7,DATE(YEAR(F$7),MONTH(F$7)+1,0)&gt;=Cover!$C$7,OR(NOT(ISNUMBER($D8)),F$7&gt;$E8,DATE(YEAR(F$7),MONTH(F$7)+1,0)&lt;$D8))</formula>
    </cfRule>
  </conditionalFormatting>
  <conditionalFormatting sqref="C8:C43">
    <cfRule type="cellIs" priority="10" operator="equal" aboveAverage="0" equalAverage="0" bottom="0" percent="0" rank="0" text="" dxfId="12">
      <formula>"Done"</formula>
    </cfRule>
    <cfRule type="cellIs" priority="11" operator="equal" aboveAverage="0" equalAverage="0" bottom="0" percent="0" rank="0" text="" dxfId="13">
      <formula>"In progress"</formula>
    </cfRule>
    <cfRule type="cellIs" priority="12" operator="equal" aboveAverage="0" equalAverage="0" bottom="0" percent="0" rank="0" text="" dxfId="14">
      <formula>"Committed"</formula>
    </cfRule>
    <cfRule type="cellIs" priority="13" operator="equal" aboveAverage="0" equalAverage="0" bottom="0" percent="0" rank="0" text="" dxfId="15">
      <formula>"Planned"</formula>
    </cfRule>
    <cfRule type="cellIs" priority="14" operator="equal" aboveAverage="0" equalAverage="0" bottom="0" percent="0" rank="0" text="" dxfId="0">
      <formula>"Exploring"</formula>
    </cfRule>
    <cfRule type="cellIs" priority="15" operator="equal" aboveAverage="0" equalAverage="0" bottom="0" percent="0" rank="0" text="" dxfId="16">
      <formula>"Idea"</formula>
    </cfRule>
    <cfRule type="cellIs" priority="16" operator="equal" aboveAverage="0" equalAverage="0" bottom="0" percent="0" rank="0" text="" dxfId="17">
      <formula>"Pending decision"</formula>
    </cfRule>
  </conditionalFormatting>
  <conditionalFormatting sqref="F7:AI7">
    <cfRule type="expression" priority="17" aboveAverage="0" equalAverage="0" bottom="0" percent="0" rank="0" text="" dxfId="18">
      <formula>AND(F7&lt;=Cover!$C$7,DATE(YEAR(F7),MONTH(F7)+1,0)&gt;=Cover!$C$7)</formula>
    </cfRule>
  </conditionalFormatting>
  <conditionalFormatting sqref="F46:AI59">
    <cfRule type="expression" priority="18" aboveAverage="0" equalAverage="0" bottom="0" percent="0" rank="0" text="" dxfId="11">
      <formula>AND(F$7&lt;=Cover!$C$7,DATE(YEAR(F$7),MONTH(F$7)+1,0)&gt;=Cover!$C$7)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44"/>
    <col collapsed="false" customWidth="true" hidden="false" outlineLevel="0" max="3" min="3" style="0" width="2"/>
    <col collapsed="false" customWidth="true" hidden="false" outlineLevel="0" max="4" min="4" style="0" width="44"/>
    <col collapsed="false" customWidth="true" hidden="false" outlineLevel="0" max="5" min="5" style="0" width="2"/>
    <col collapsed="false" customWidth="true" hidden="false" outlineLevel="0" max="6" min="6" style="0" width="44"/>
  </cols>
  <sheetData>
    <row r="1" customFormat="false" ht="19.7" hidden="false" customHeight="false" outlineLevel="0" collapsed="false">
      <c r="A1" s="31" t="s">
        <v>148</v>
      </c>
    </row>
    <row r="2" customFormat="false" ht="15" hidden="false" customHeight="false" outlineLevel="0" collapsed="false">
      <c r="A2" s="23" t="s">
        <v>149</v>
      </c>
    </row>
    <row r="3" customFormat="false" ht="15" hidden="false" customHeight="false" outlineLevel="0" collapsed="false">
      <c r="A3" s="24" t="str">
        <f aca="false">"Reporting date: "&amp;TEXT(Cover!$C$7,"DD-MMM-YYYY")</f>
        <v>Reporting date: 11-Sep-2026</v>
      </c>
    </row>
    <row r="5" customFormat="false" ht="27.75" hidden="false" customHeight="true" outlineLevel="0" collapsed="false">
      <c r="B5" s="70" t="str">
        <f aca="false">"Now ("&amp;COUNTIFS(Initiatives!$K$5:$K$60,"Now")&amp;")"</f>
        <v>Now (6)</v>
      </c>
      <c r="D5" s="71" t="str">
        <f aca="false">"Next ("&amp;COUNTIFS(Initiatives!$K$5:$K$60,"Next")&amp;")"</f>
        <v>Next (15)</v>
      </c>
      <c r="F5" s="72" t="str">
        <f aca="false">"Later ("&amp;COUNTIFS(Initiatives!$K$5:$K$60,"Later")&amp;")"</f>
        <v>Later (9)</v>
      </c>
    </row>
    <row r="6" customFormat="false" ht="30" hidden="false" customHeight="true" outlineLevel="0" collapsed="false">
      <c r="B6" s="73" t="s">
        <v>150</v>
      </c>
      <c r="D6" s="73" t="s">
        <v>151</v>
      </c>
      <c r="F6" s="73" t="s">
        <v>152</v>
      </c>
    </row>
    <row r="7" customFormat="false" ht="48" hidden="false" customHeight="true" outlineLevel="0" collapsed="false">
      <c r="B7" s="74" t="str">
        <f aca="false">IFERROR(INDEX(Initiatives!$D$5:$D$60,MATCH(SMALL(Initiatives!$S$5:$S$60,1),Initiatives!$S$5:$S$60,0))&amp;CHAR(10)&amp;INDEX(Initiatives!$C$5:$C$60,MATCH(SMALL(Initiatives!$S$5:$S$60,1),Initiatives!$S$5:$S$60,0))&amp;", "&amp;INDEX(Initiatives!$J$5:$J$60,MATCH(SMALL(Initiatives!$S$5:$S$60,1),Initiatives!$S$5:$S$60,0))&amp;CHAR(10)&amp;INDEX(Initiatives!$L$5:$L$60,MATCH(SMALL(Initiatives!$S$5:$S$60,1),Initiatives!$S$5:$S$60,0))&amp;", "&amp;INDEX(Initiatives!$M$5:$M$60,MATCH(SMALL(Initiatives!$S$5:$S$60,1),Initiatives!$S$5:$S$60,0))&amp;" confidence","")</f>
        <v>MVP build (Sprints 1–8)
Launch the MVP, Q3 2026 to Q4 2026
In progress, High confidence</v>
      </c>
      <c r="D7" s="75" t="str">
        <f aca="false">IFERROR(INDEX(Initiatives!$D$5:$D$60,MATCH(SMALL(Initiatives!$T$5:$T$60,1),Initiatives!$T$5:$T$60,0))&amp;CHAR(10)&amp;INDEX(Initiatives!$C$5:$C$60,MATCH(SMALL(Initiatives!$T$5:$T$60,1),Initiatives!$T$5:$T$60,0))&amp;", "&amp;INDEX(Initiatives!$J$5:$J$60,MATCH(SMALL(Initiatives!$T$5:$T$60,1),Initiatives!$T$5:$T$60,0))&amp;CHAR(10)&amp;INDEX(Initiatives!$L$5:$L$60,MATCH(SMALL(Initiatives!$T$5:$T$60,1),Initiatives!$T$5:$T$60,0))&amp;", "&amp;INDEX(Initiatives!$M$5:$M$60,MATCH(SMALL(Initiatives!$T$5:$T$60,1),Initiatives!$T$5:$T$60,0))&amp;" confidence","")</f>
        <v>Pilot with 10 merchants
Merchant adoption and rollout, Q1 2027
Committed, Medium confidence</v>
      </c>
      <c r="F7" s="76" t="str">
        <f aca="false">IFERROR(INDEX(Initiatives!$D$5:$D$60,MATCH(SMALL(Initiatives!$U$5:$U$60,1),Initiatives!$U$5:$U$60,0))&amp;CHAR(10)&amp;INDEX(Initiatives!$C$5:$C$60,MATCH(SMALL(Initiatives!$U$5:$U$60,1),Initiatives!$U$5:$U$60,0))&amp;", "&amp;INDEX(Initiatives!$J$5:$J$60,MATCH(SMALL(Initiatives!$U$5:$U$60,1),Initiatives!$U$5:$U$60,0))&amp;CHAR(10)&amp;INDEX(Initiatives!$L$5:$L$60,MATCH(SMALL(Initiatives!$U$5:$U$60,1),Initiatives!$U$5:$U$60,0))&amp;", "&amp;INDEX(Initiatives!$M$5:$M$60,MATCH(SMALL(Initiatives!$U$5:$U$60,1),Initiatives!$U$5:$U$60,0))&amp;" confidence","")</f>
        <v>General availability
Merchant adoption and rollout, Q4 2027
Planned, Medium confidence</v>
      </c>
    </row>
    <row r="8" customFormat="false" ht="48" hidden="false" customHeight="true" outlineLevel="0" collapsed="false">
      <c r="B8" s="74" t="str">
        <f aca="false">IFERROR(INDEX(Initiatives!$D$5:$D$60,MATCH(SMALL(Initiatives!$S$5:$S$60,2),Initiatives!$S$5:$S$60,0))&amp;CHAR(10)&amp;INDEX(Initiatives!$C$5:$C$60,MATCH(SMALL(Initiatives!$S$5:$S$60,2),Initiatives!$S$5:$S$60,0))&amp;", "&amp;INDEX(Initiatives!$J$5:$J$60,MATCH(SMALL(Initiatives!$S$5:$S$60,2),Initiatives!$S$5:$S$60,0))&amp;CHAR(10)&amp;INDEX(Initiatives!$L$5:$L$60,MATCH(SMALL(Initiatives!$S$5:$S$60,2),Initiatives!$S$5:$S$60,0))&amp;", "&amp;INDEX(Initiatives!$M$5:$M$60,MATCH(SMALL(Initiatives!$S$5:$S$60,2),Initiatives!$S$5:$S$60,0))&amp;" confidence","")</f>
        <v>Agree dispute outcome definitions
Trust, compliance and data, Q3 2026
In progress, Medium confidence</v>
      </c>
      <c r="D8" s="75" t="str">
        <f aca="false">IFERROR(INDEX(Initiatives!$D$5:$D$60,MATCH(SMALL(Initiatives!$T$5:$T$60,2),Initiatives!$T$5:$T$60,0))&amp;CHAR(10)&amp;INDEX(Initiatives!$C$5:$C$60,MATCH(SMALL(Initiatives!$T$5:$T$60,2),Initiatives!$T$5:$T$60,0))&amp;", "&amp;INDEX(Initiatives!$J$5:$J$60,MATCH(SMALL(Initiatives!$T$5:$T$60,2),Initiatives!$T$5:$T$60,0))&amp;CHAR(10)&amp;INDEX(Initiatives!$L$5:$L$60,MATCH(SMALL(Initiatives!$T$5:$T$60,2),Initiatives!$T$5:$T$60,0))&amp;", "&amp;INDEX(Initiatives!$M$5:$M$60,MATCH(SMALL(Initiatives!$T$5:$T$60,2),Initiatives!$T$5:$T$60,0))&amp;" confidence","")</f>
        <v>Merchant satisfaction survey
Trust, compliance and data, Q1 2027
Planned, High confidence</v>
      </c>
      <c r="F8" s="76" t="str">
        <f aca="false">IFERROR(INDEX(Initiatives!$D$5:$D$60,MATCH(SMALL(Initiatives!$U$5:$U$60,2),Initiatives!$U$5:$U$60,0))&amp;CHAR(10)&amp;INDEX(Initiatives!$C$5:$C$60,MATCH(SMALL(Initiatives!$U$5:$U$60,2),Initiatives!$U$5:$U$60,0))&amp;", "&amp;INDEX(Initiatives!$J$5:$J$60,MATCH(SMALL(Initiatives!$U$5:$U$60,2),Initiatives!$U$5:$U$60,0))&amp;CHAR(10)&amp;INDEX(Initiatives!$L$5:$L$60,MATCH(SMALL(Initiatives!$U$5:$U$60,2),Initiatives!$U$5:$U$60,0))&amp;", "&amp;INDEX(Initiatives!$M$5:$M$60,MATCH(SMALL(Initiatives!$U$5:$U$60,2),Initiatives!$U$5:$U$60,0))&amp;" confidence","")</f>
        <v>Auto-accept rules for low-value disputes
Ops efficiency, Q4 2027
Idea, Low confidence</v>
      </c>
    </row>
    <row r="9" customFormat="false" ht="48" hidden="false" customHeight="true" outlineLevel="0" collapsed="false">
      <c r="B9" s="74" t="str">
        <f aca="false">IFERROR(INDEX(Initiatives!$D$5:$D$60,MATCH(SMALL(Initiatives!$S$5:$S$60,3),Initiatives!$S$5:$S$60,0))&amp;CHAR(10)&amp;INDEX(Initiatives!$C$5:$C$60,MATCH(SMALL(Initiatives!$S$5:$S$60,3),Initiatives!$S$5:$S$60,0))&amp;", "&amp;INDEX(Initiatives!$J$5:$J$60,MATCH(SMALL(Initiatives!$S$5:$S$60,3),Initiatives!$S$5:$S$60,0))&amp;CHAR(10)&amp;INDEX(Initiatives!$L$5:$L$60,MATCH(SMALL(Initiatives!$S$5:$S$60,3),Initiatives!$S$5:$S$60,0))&amp;", "&amp;INDEX(Initiatives!$M$5:$M$60,MATCH(SMALL(Initiatives!$S$5:$S$60,3),Initiatives!$S$5:$S$60,0))&amp;" confidence","")</f>
        <v>Analytics tracking plan and instrumentation
Trust, compliance and data, Q3 2026 to Q4 2026
In progress, Low confidence</v>
      </c>
      <c r="D9" s="75" t="str">
        <f aca="false">IFERROR(INDEX(Initiatives!$D$5:$D$60,MATCH(SMALL(Initiatives!$T$5:$T$60,3),Initiatives!$T$5:$T$60,0))&amp;CHAR(10)&amp;INDEX(Initiatives!$C$5:$C$60,MATCH(SMALL(Initiatives!$T$5:$T$60,3),Initiatives!$T$5:$T$60,0))&amp;", "&amp;INDEX(Initiatives!$J$5:$J$60,MATCH(SMALL(Initiatives!$T$5:$T$60,3),Initiatives!$T$5:$T$60,0))&amp;CHAR(10)&amp;INDEX(Initiatives!$L$5:$L$60,MATCH(SMALL(Initiatives!$T$5:$T$60,3),Initiatives!$T$5:$T$60,0))&amp;", "&amp;INDEX(Initiatives!$M$5:$M$60,MATCH(SMALL(Initiatives!$T$5:$T$60,3),Initiatives!$T$5:$T$60,0))&amp;" confidence","")</f>
        <v>Pilot feedback fixes
Merchant adoption and rollout, Q1 2027
Planned, Medium confidence</v>
      </c>
      <c r="F9" s="76" t="str">
        <f aca="false">IFERROR(INDEX(Initiatives!$D$5:$D$60,MATCH(SMALL(Initiatives!$U$5:$U$60,3),Initiatives!$U$5:$U$60,0))&amp;CHAR(10)&amp;INDEX(Initiatives!$C$5:$C$60,MATCH(SMALL(Initiatives!$U$5:$U$60,3),Initiatives!$U$5:$U$60,0))&amp;", "&amp;INDEX(Initiatives!$J$5:$J$60,MATCH(SMALL(Initiatives!$U$5:$U$60,3),Initiatives!$U$5:$U$60,0))&amp;CHAR(10)&amp;INDEX(Initiatives!$L$5:$L$60,MATCH(SMALL(Initiatives!$U$5:$U$60,3),Initiatives!$U$5:$U$60,0))&amp;", "&amp;INDEX(Initiatives!$M$5:$M$60,MATCH(SMALL(Initiatives!$U$5:$U$60,3),Initiatives!$U$5:$U$60,0))&amp;" confidence","")</f>
        <v>Marketplace sub-merchant model
Expansion, Q1 2028 to Q2 2028
Idea, Low confidence</v>
      </c>
    </row>
    <row r="10" customFormat="false" ht="48" hidden="false" customHeight="true" outlineLevel="0" collapsed="false">
      <c r="B10" s="74" t="str">
        <f aca="false">IFERROR(INDEX(Initiatives!$D$5:$D$60,MATCH(SMALL(Initiatives!$S$5:$S$60,4),Initiatives!$S$5:$S$60,0))&amp;CHAR(10)&amp;INDEX(Initiatives!$C$5:$C$60,MATCH(SMALL(Initiatives!$S$5:$S$60,4),Initiatives!$S$5:$S$60,0))&amp;", "&amp;INDEX(Initiatives!$J$5:$J$60,MATCH(SMALL(Initiatives!$S$5:$S$60,4),Initiatives!$S$5:$S$60,0))&amp;CHAR(10)&amp;INDEX(Initiatives!$L$5:$L$60,MATCH(SMALL(Initiatives!$S$5:$S$60,4),Initiatives!$S$5:$S$60,0))&amp;", "&amp;INDEX(Initiatives!$M$5:$M$60,MATCH(SMALL(Initiatives!$S$5:$S$60,4),Initiatives!$S$5:$S$60,0))&amp;" confidence","")</f>
        <v>Fraud case reference on disputes
Ops efficiency, Q4 2026
Pending decision, Low confidence</v>
      </c>
      <c r="D10" s="75" t="str">
        <f aca="false">IFERROR(INDEX(Initiatives!$D$5:$D$60,MATCH(SMALL(Initiatives!$T$5:$T$60,4),Initiatives!$T$5:$T$60,0))&amp;CHAR(10)&amp;INDEX(Initiatives!$C$5:$C$60,MATCH(SMALL(Initiatives!$T$5:$T$60,4),Initiatives!$T$5:$T$60,0))&amp;", "&amp;INDEX(Initiatives!$J$5:$J$60,MATCH(SMALL(Initiatives!$T$5:$T$60,4),Initiatives!$T$5:$T$60,0))&amp;CHAR(10)&amp;INDEX(Initiatives!$L$5:$L$60,MATCH(SMALL(Initiatives!$T$5:$T$60,4),Initiatives!$T$5:$T$60,0))&amp;", "&amp;INDEX(Initiatives!$M$5:$M$60,MATCH(SMALL(Initiatives!$T$5:$T$60,4),Initiatives!$T$5:$T$60,0))&amp;" confidence","")</f>
        <v>Wave 1 rollout
Merchant adoption and rollout, Q1 2027 to Q2 2027
Planned, Medium confidence</v>
      </c>
      <c r="F10" s="76" t="str">
        <f aca="false">IFERROR(INDEX(Initiatives!$D$5:$D$60,MATCH(SMALL(Initiatives!$U$5:$U$60,4),Initiatives!$U$5:$U$60,0))&amp;CHAR(10)&amp;INDEX(Initiatives!$C$5:$C$60,MATCH(SMALL(Initiatives!$U$5:$U$60,4),Initiatives!$U$5:$U$60,0))&amp;", "&amp;INDEX(Initiatives!$J$5:$J$60,MATCH(SMALL(Initiatives!$U$5:$U$60,4),Initiatives!$U$5:$U$60,0))&amp;CHAR(10)&amp;INDEX(Initiatives!$L$5:$L$60,MATCH(SMALL(Initiatives!$U$5:$U$60,4),Initiatives!$U$5:$U$60,0))&amp;", "&amp;INDEX(Initiatives!$M$5:$M$60,MATCH(SMALL(Initiatives!$U$5:$U$60,4),Initiatives!$U$5:$U$60,0))&amp;" confidence","")</f>
        <v>Friendly fraud evidence automation
Help merchants win more disputes, Q1 2028
Idea, Low confidence</v>
      </c>
    </row>
    <row r="11" customFormat="false" ht="48" hidden="false" customHeight="true" outlineLevel="0" collapsed="false">
      <c r="B11" s="74" t="str">
        <f aca="false">IFERROR(INDEX(Initiatives!$D$5:$D$60,MATCH(SMALL(Initiatives!$S$5:$S$60,5),Initiatives!$S$5:$S$60,0))&amp;CHAR(10)&amp;INDEX(Initiatives!$C$5:$C$60,MATCH(SMALL(Initiatives!$S$5:$S$60,5),Initiatives!$S$5:$S$60,0))&amp;", "&amp;INDEX(Initiatives!$J$5:$J$60,MATCH(SMALL(Initiatives!$S$5:$S$60,5),Initiatives!$S$5:$S$60,0))&amp;CHAR(10)&amp;INDEX(Initiatives!$L$5:$L$60,MATCH(SMALL(Initiatives!$S$5:$S$60,5),Initiatives!$S$5:$S$60,0))&amp;", "&amp;INDEX(Initiatives!$M$5:$M$60,MATCH(SMALL(Initiatives!$S$5:$S$60,5),Initiatives!$S$5:$S$60,0))&amp;" confidence","")</f>
        <v>Security, UAT and hardening (Sprints 9–10)
Launch the MVP, Q4 2026
Committed, Medium confidence</v>
      </c>
      <c r="D11" s="75" t="str">
        <f aca="false">IFERROR(INDEX(Initiatives!$D$5:$D$60,MATCH(SMALL(Initiatives!$T$5:$T$60,5),Initiatives!$T$5:$T$60,0))&amp;CHAR(10)&amp;INDEX(Initiatives!$C$5:$C$60,MATCH(SMALL(Initiatives!$T$5:$T$60,5),Initiatives!$T$5:$T$60,0))&amp;", "&amp;INDEX(Initiatives!$J$5:$J$60,MATCH(SMALL(Initiatives!$T$5:$T$60,5),Initiatives!$T$5:$T$60,0))&amp;CHAR(10)&amp;INDEX(Initiatives!$L$5:$L$60,MATCH(SMALL(Initiatives!$T$5:$T$60,5),Initiatives!$T$5:$T$60,0))&amp;", "&amp;INDEX(Initiatives!$M$5:$M$60,MATCH(SMALL(Initiatives!$T$5:$T$60,5),Initiatives!$T$5:$T$60,0))&amp;" confidence","")</f>
        <v>Retire email dispute intake
Ops efficiency, Q1 2027 to Q4 2027
Planned, Medium confidence</v>
      </c>
      <c r="F11" s="76" t="str">
        <f aca="false">IFERROR(INDEX(Initiatives!$D$5:$D$60,MATCH(SMALL(Initiatives!$U$5:$U$60,5),Initiatives!$U$5:$U$60,0))&amp;CHAR(10)&amp;INDEX(Initiatives!$C$5:$C$60,MATCH(SMALL(Initiatives!$U$5:$U$60,5),Initiatives!$U$5:$U$60,0))&amp;", "&amp;INDEX(Initiatives!$J$5:$J$60,MATCH(SMALL(Initiatives!$U$5:$U$60,5),Initiatives!$U$5:$U$60,0))&amp;CHAR(10)&amp;INDEX(Initiatives!$L$5:$L$60,MATCH(SMALL(Initiatives!$U$5:$U$60,5),Initiatives!$U$5:$U$60,0))&amp;", "&amp;INDEX(Initiatives!$M$5:$M$60,MATCH(SMALL(Initiatives!$U$5:$U$60,5),Initiatives!$U$5:$U$60,0))&amp;" confidence","")</f>
        <v>Root-cause insights and recommendations
Help merchants win more disputes, Q1 2028 to Q2 2028
Idea, Low confidence</v>
      </c>
    </row>
    <row r="12" customFormat="false" ht="48" hidden="false" customHeight="true" outlineLevel="0" collapsed="false">
      <c r="B12" s="74" t="str">
        <f aca="false">IFERROR(INDEX(Initiatives!$D$5:$D$60,MATCH(SMALL(Initiatives!$S$5:$S$60,6),Initiatives!$S$5:$S$60,0))&amp;CHAR(10)&amp;INDEX(Initiatives!$C$5:$C$60,MATCH(SMALL(Initiatives!$S$5:$S$60,6),Initiatives!$S$5:$S$60,0))&amp;", "&amp;INDEX(Initiatives!$J$5:$J$60,MATCH(SMALL(Initiatives!$S$5:$S$60,6),Initiatives!$S$5:$S$60,0))&amp;CHAR(10)&amp;INDEX(Initiatives!$L$5:$L$60,MATCH(SMALL(Initiatives!$S$5:$S$60,6),Initiatives!$S$5:$S$60,0))&amp;", "&amp;INDEX(Initiatives!$M$5:$M$60,MATCH(SMALL(Initiatives!$S$5:$S$60,6),Initiatives!$S$5:$S$60,0))&amp;" confidence","")</f>
        <v>Go-live and hypercare
Launch the MVP, Q4 2026 to Q1 2027
Committed, Medium confidence</v>
      </c>
      <c r="D12" s="75" t="str">
        <f aca="false">IFERROR(INDEX(Initiatives!$D$5:$D$60,MATCH(SMALL(Initiatives!$T$5:$T$60,6),Initiatives!$T$5:$T$60,0))&amp;CHAR(10)&amp;INDEX(Initiatives!$C$5:$C$60,MATCH(SMALL(Initiatives!$T$5:$T$60,6),Initiatives!$T$5:$T$60,0))&amp;", "&amp;INDEX(Initiatives!$J$5:$J$60,MATCH(SMALL(Initiatives!$T$5:$T$60,6),Initiatives!$T$5:$T$60,0))&amp;CHAR(10)&amp;INDEX(Initiatives!$L$5:$L$60,MATCH(SMALL(Initiatives!$T$5:$T$60,6),Initiatives!$T$5:$T$60,0))&amp;", "&amp;INDEX(Initiatives!$M$5:$M$60,MATCH(SMALL(Initiatives!$T$5:$T$60,6),Initiatives!$T$5:$T$60,0))&amp;" confidence","")</f>
        <v>Evidence guidance for recurring billing and travel
Help merchants win more disputes, Q2 2027
Planned, Medium confidence</v>
      </c>
      <c r="F12" s="76" t="str">
        <f aca="false">IFERROR(INDEX(Initiatives!$D$5:$D$60,MATCH(SMALL(Initiatives!$U$5:$U$60,6),Initiatives!$U$5:$U$60,0))&amp;CHAR(10)&amp;INDEX(Initiatives!$C$5:$C$60,MATCH(SMALL(Initiatives!$U$5:$U$60,6),Initiatives!$U$5:$U$60,0))&amp;", "&amp;INDEX(Initiatives!$J$5:$J$60,MATCH(SMALL(Initiatives!$U$5:$U$60,6),Initiatives!$U$5:$U$60,0))&amp;CHAR(10)&amp;INDEX(Initiatives!$L$5:$L$60,MATCH(SMALL(Initiatives!$U$5:$U$60,6),Initiatives!$U$5:$U$60,0))&amp;", "&amp;INDEX(Initiatives!$M$5:$M$60,MATCH(SMALL(Initiatives!$U$5:$U$60,6),Initiatives!$U$5:$U$60,0))&amp;" confidence","")</f>
        <v>Evidence quality checks before submission
Help merchants win more disputes, Q2 2028
Idea, Low confidence</v>
      </c>
    </row>
    <row r="13" customFormat="false" ht="48" hidden="false" customHeight="true" outlineLevel="0" collapsed="false">
      <c r="B13" s="74" t="str">
        <f aca="false">IFERROR(INDEX(Initiatives!$D$5:$D$60,MATCH(SMALL(Initiatives!$S$5:$S$60,7),Initiatives!$S$5:$S$60,0))&amp;CHAR(10)&amp;INDEX(Initiatives!$C$5:$C$60,MATCH(SMALL(Initiatives!$S$5:$S$60,7),Initiatives!$S$5:$S$60,0))&amp;", "&amp;INDEX(Initiatives!$J$5:$J$60,MATCH(SMALL(Initiatives!$S$5:$S$60,7),Initiatives!$S$5:$S$60,0))&amp;CHAR(10)&amp;INDEX(Initiatives!$L$5:$L$60,MATCH(SMALL(Initiatives!$S$5:$S$60,7),Initiatives!$S$5:$S$60,0))&amp;", "&amp;INDEX(Initiatives!$M$5:$M$60,MATCH(SMALL(Initiatives!$S$5:$S$60,7),Initiatives!$S$5:$S$60,0))&amp;" confidence","")</f>
        <v/>
      </c>
      <c r="D13" s="75" t="str">
        <f aca="false">IFERROR(INDEX(Initiatives!$D$5:$D$60,MATCH(SMALL(Initiatives!$T$5:$T$60,7),Initiatives!$T$5:$T$60,0))&amp;CHAR(10)&amp;INDEX(Initiatives!$C$5:$C$60,MATCH(SMALL(Initiatives!$T$5:$T$60,7),Initiatives!$T$5:$T$60,0))&amp;", "&amp;INDEX(Initiatives!$J$5:$J$60,MATCH(SMALL(Initiatives!$T$5:$T$60,7),Initiatives!$T$5:$T$60,0))&amp;CHAR(10)&amp;INDEX(Initiatives!$L$5:$L$60,MATCH(SMALL(Initiatives!$T$5:$T$60,7),Initiatives!$T$5:$T$60,0))&amp;", "&amp;INDEX(Initiatives!$M$5:$M$60,MATCH(SMALL(Initiatives!$T$5:$T$60,7),Initiatives!$T$5:$T$60,0))&amp;" confidence","")</f>
        <v>Evidence templates by reason code
Help merchants win more disputes, Q2 2027
Exploring, Medium confidence</v>
      </c>
      <c r="F13" s="76" t="str">
        <f aca="false">IFERROR(INDEX(Initiatives!$D$5:$D$60,MATCH(SMALL(Initiatives!$U$5:$U$60,7),Initiatives!$U$5:$U$60,0))&amp;CHAR(10)&amp;INDEX(Initiatives!$C$5:$C$60,MATCH(SMALL(Initiatives!$U$5:$U$60,7),Initiatives!$U$5:$U$60,0))&amp;", "&amp;INDEX(Initiatives!$J$5:$J$60,MATCH(SMALL(Initiatives!$U$5:$U$60,7),Initiatives!$U$5:$U$60,0))&amp;CHAR(10)&amp;INDEX(Initiatives!$L$5:$L$60,MATCH(SMALL(Initiatives!$U$5:$U$60,7),Initiatives!$U$5:$U$60,0))&amp;", "&amp;INDEX(Initiatives!$M$5:$M$60,MATCH(SMALL(Initiatives!$U$5:$U$60,7),Initiatives!$U$5:$U$60,0))&amp;" confidence","")</f>
        <v>AI agent purchase readiness
Expansion, Q2 2028 to Q3 2028
Idea, Low confidence</v>
      </c>
    </row>
    <row r="14" customFormat="false" ht="48" hidden="false" customHeight="true" outlineLevel="0" collapsed="false">
      <c r="B14" s="74" t="str">
        <f aca="false">IFERROR(INDEX(Initiatives!$D$5:$D$60,MATCH(SMALL(Initiatives!$S$5:$S$60,8),Initiatives!$S$5:$S$60,0))&amp;CHAR(10)&amp;INDEX(Initiatives!$C$5:$C$60,MATCH(SMALL(Initiatives!$S$5:$S$60,8),Initiatives!$S$5:$S$60,0))&amp;", "&amp;INDEX(Initiatives!$J$5:$J$60,MATCH(SMALL(Initiatives!$S$5:$S$60,8),Initiatives!$S$5:$S$60,0))&amp;CHAR(10)&amp;INDEX(Initiatives!$L$5:$L$60,MATCH(SMALL(Initiatives!$S$5:$S$60,8),Initiatives!$S$5:$S$60,0))&amp;", "&amp;INDEX(Initiatives!$M$5:$M$60,MATCH(SMALL(Initiatives!$S$5:$S$60,8),Initiatives!$S$5:$S$60,0))&amp;" confidence","")</f>
        <v/>
      </c>
      <c r="D14" s="75" t="str">
        <f aca="false">IFERROR(INDEX(Initiatives!$D$5:$D$60,MATCH(SMALL(Initiatives!$T$5:$T$60,8),Initiatives!$T$5:$T$60,0))&amp;CHAR(10)&amp;INDEX(Initiatives!$C$5:$C$60,MATCH(SMALL(Initiatives!$T$5:$T$60,8),Initiatives!$T$5:$T$60,0))&amp;", "&amp;INDEX(Initiatives!$J$5:$J$60,MATCH(SMALL(Initiatives!$T$5:$T$60,8),Initiatives!$T$5:$T$60,0))&amp;CHAR(10)&amp;INDEX(Initiatives!$L$5:$L$60,MATCH(SMALL(Initiatives!$T$5:$T$60,8),Initiatives!$T$5:$T$60,0))&amp;", "&amp;INDEX(Initiatives!$M$5:$M$60,MATCH(SMALL(Initiatives!$T$5:$T$60,8),Initiatives!$T$5:$T$60,0))&amp;" confidence","")</f>
        <v>Reason code admin screen
Ops efficiency, Q2 2027
Planned, Medium confidence</v>
      </c>
      <c r="F14" s="76" t="str">
        <f aca="false">IFERROR(INDEX(Initiatives!$D$5:$D$60,MATCH(SMALL(Initiatives!$U$5:$U$60,8),Initiatives!$U$5:$U$60,0))&amp;CHAR(10)&amp;INDEX(Initiatives!$C$5:$C$60,MATCH(SMALL(Initiatives!$U$5:$U$60,8),Initiatives!$U$5:$U$60,0))&amp;", "&amp;INDEX(Initiatives!$J$5:$J$60,MATCH(SMALL(Initiatives!$U$5:$U$60,8),Initiatives!$U$5:$U$60,0))&amp;CHAR(10)&amp;INDEX(Initiatives!$L$5:$L$60,MATCH(SMALL(Initiatives!$U$5:$U$60,8),Initiatives!$U$5:$U$60,0))&amp;", "&amp;INDEX(Initiatives!$M$5:$M$60,MATCH(SMALL(Initiatives!$U$5:$U$60,8),Initiatives!$U$5:$U$60,0))&amp;" confidence","")</f>
        <v>Dispute API for enterprise merchants
Expansion, Q3 2028 to Q4 2028
Idea, Low confidence</v>
      </c>
    </row>
    <row r="15" customFormat="false" ht="48" hidden="false" customHeight="true" outlineLevel="0" collapsed="false">
      <c r="B15" s="74" t="str">
        <f aca="false">IFERROR(INDEX(Initiatives!$D$5:$D$60,MATCH(SMALL(Initiatives!$S$5:$S$60,9),Initiatives!$S$5:$S$60,0))&amp;CHAR(10)&amp;INDEX(Initiatives!$C$5:$C$60,MATCH(SMALL(Initiatives!$S$5:$S$60,9),Initiatives!$S$5:$S$60,0))&amp;", "&amp;INDEX(Initiatives!$J$5:$J$60,MATCH(SMALL(Initiatives!$S$5:$S$60,9),Initiatives!$S$5:$S$60,0))&amp;CHAR(10)&amp;INDEX(Initiatives!$L$5:$L$60,MATCH(SMALL(Initiatives!$S$5:$S$60,9),Initiatives!$S$5:$S$60,0))&amp;", "&amp;INDEX(Initiatives!$M$5:$M$60,MATCH(SMALL(Initiatives!$S$5:$S$60,9),Initiatives!$S$5:$S$60,0))&amp;" confidence","")</f>
        <v/>
      </c>
      <c r="D15" s="75" t="str">
        <f aca="false">IFERROR(INDEX(Initiatives!$D$5:$D$60,MATCH(SMALL(Initiatives!$T$5:$T$60,9),Initiatives!$T$5:$T$60,0))&amp;CHAR(10)&amp;INDEX(Initiatives!$C$5:$C$60,MATCH(SMALL(Initiatives!$T$5:$T$60,9),Initiatives!$T$5:$T$60,0))&amp;", "&amp;INDEX(Initiatives!$J$5:$J$60,MATCH(SMALL(Initiatives!$T$5:$T$60,9),Initiatives!$T$5:$T$60,0))&amp;CHAR(10)&amp;INDEX(Initiatives!$L$5:$L$60,MATCH(SMALL(Initiatives!$T$5:$T$60,9),Initiatives!$T$5:$T$60,0))&amp;", "&amp;INDEX(Initiatives!$M$5:$M$60,MATCH(SMALL(Initiatives!$T$5:$T$60,9),Initiatives!$T$5:$T$60,0))&amp;" confidence","")</f>
        <v>SMS deadline reminders
Help merchants win more disputes, Q2 2027
Idea, Low confidence</v>
      </c>
      <c r="F15" s="76" t="str">
        <f aca="false">IFERROR(INDEX(Initiatives!$D$5:$D$60,MATCH(SMALL(Initiatives!$U$5:$U$60,9),Initiatives!$U$5:$U$60,0))&amp;CHAR(10)&amp;INDEX(Initiatives!$C$5:$C$60,MATCH(SMALL(Initiatives!$U$5:$U$60,9),Initiatives!$U$5:$U$60,0))&amp;", "&amp;INDEX(Initiatives!$J$5:$J$60,MATCH(SMALL(Initiatives!$U$5:$U$60,9),Initiatives!$U$5:$U$60,0))&amp;CHAR(10)&amp;INDEX(Initiatives!$L$5:$L$60,MATCH(SMALL(Initiatives!$U$5:$U$60,9),Initiatives!$U$5:$U$60,0))&amp;", "&amp;INDEX(Initiatives!$M$5:$M$60,MATCH(SMALL(Initiatives!$U$5:$U$60,9),Initiatives!$U$5:$U$60,0))&amp;" confidence","")</f>
        <v>Premium dispute management service
Expansion, Q3 2028 to Q4 2028
Idea, Low confidence</v>
      </c>
    </row>
    <row r="16" customFormat="false" ht="48" hidden="false" customHeight="true" outlineLevel="0" collapsed="false">
      <c r="B16" s="74" t="str">
        <f aca="false">IFERROR(INDEX(Initiatives!$D$5:$D$60,MATCH(SMALL(Initiatives!$S$5:$S$60,10),Initiatives!$S$5:$S$60,0))&amp;CHAR(10)&amp;INDEX(Initiatives!$C$5:$C$60,MATCH(SMALL(Initiatives!$S$5:$S$60,10),Initiatives!$S$5:$S$60,0))&amp;", "&amp;INDEX(Initiatives!$J$5:$J$60,MATCH(SMALL(Initiatives!$S$5:$S$60,10),Initiatives!$S$5:$S$60,0))&amp;CHAR(10)&amp;INDEX(Initiatives!$L$5:$L$60,MATCH(SMALL(Initiatives!$S$5:$S$60,10),Initiatives!$S$5:$S$60,0))&amp;", "&amp;INDEX(Initiatives!$M$5:$M$60,MATCH(SMALL(Initiatives!$S$5:$S$60,10),Initiatives!$S$5:$S$60,0))&amp;" confidence","")</f>
        <v/>
      </c>
      <c r="D16" s="75" t="str">
        <f aca="false">IFERROR(INDEX(Initiatives!$D$5:$D$60,MATCH(SMALL(Initiatives!$T$5:$T$60,10),Initiatives!$T$5:$T$60,0))&amp;CHAR(10)&amp;INDEX(Initiatives!$C$5:$C$60,MATCH(SMALL(Initiatives!$T$5:$T$60,10),Initiatives!$T$5:$T$60,0))&amp;", "&amp;INDEX(Initiatives!$J$5:$J$60,MATCH(SMALL(Initiatives!$T$5:$T$60,10),Initiatives!$T$5:$T$60,0))&amp;CHAR(10)&amp;INDEX(Initiatives!$L$5:$L$60,MATCH(SMALL(Initiatives!$T$5:$T$60,10),Initiatives!$T$5:$T$60,0))&amp;", "&amp;INDEX(Initiatives!$M$5:$M$60,MATCH(SMALL(Initiatives!$T$5:$T$60,10),Initiatives!$T$5:$T$60,0))&amp;" confidence","")</f>
        <v>Dispute ratio health alerts
Trust, compliance and data, Q2 2027
Exploring, Medium confidence</v>
      </c>
      <c r="F16" s="76" t="str">
        <f aca="false">IFERROR(INDEX(Initiatives!$D$5:$D$60,MATCH(SMALL(Initiatives!$U$5:$U$60,10),Initiatives!$U$5:$U$60,0))&amp;CHAR(10)&amp;INDEX(Initiatives!$C$5:$C$60,MATCH(SMALL(Initiatives!$U$5:$U$60,10),Initiatives!$U$5:$U$60,0))&amp;", "&amp;INDEX(Initiatives!$J$5:$J$60,MATCH(SMALL(Initiatives!$U$5:$U$60,10),Initiatives!$U$5:$U$60,0))&amp;CHAR(10)&amp;INDEX(Initiatives!$L$5:$L$60,MATCH(SMALL(Initiatives!$U$5:$U$60,10),Initiatives!$U$5:$U$60,0))&amp;", "&amp;INDEX(Initiatives!$M$5:$M$60,MATCH(SMALL(Initiatives!$U$5:$U$60,10),Initiatives!$U$5:$U$60,0))&amp;" confidence","")</f>
        <v/>
      </c>
    </row>
    <row r="17" customFormat="false" ht="48" hidden="false" customHeight="true" outlineLevel="0" collapsed="false">
      <c r="B17" s="74" t="str">
        <f aca="false">IFERROR(INDEX(Initiatives!$D$5:$D$60,MATCH(SMALL(Initiatives!$S$5:$S$60,11),Initiatives!$S$5:$S$60,0))&amp;CHAR(10)&amp;INDEX(Initiatives!$C$5:$C$60,MATCH(SMALL(Initiatives!$S$5:$S$60,11),Initiatives!$S$5:$S$60,0))&amp;", "&amp;INDEX(Initiatives!$J$5:$J$60,MATCH(SMALL(Initiatives!$S$5:$S$60,11),Initiatives!$S$5:$S$60,0))&amp;CHAR(10)&amp;INDEX(Initiatives!$L$5:$L$60,MATCH(SMALL(Initiatives!$S$5:$S$60,11),Initiatives!$S$5:$S$60,0))&amp;", "&amp;INDEX(Initiatives!$M$5:$M$60,MATCH(SMALL(Initiatives!$S$5:$S$60,11),Initiatives!$S$5:$S$60,0))&amp;" confidence","")</f>
        <v/>
      </c>
      <c r="D17" s="75" t="str">
        <f aca="false">IFERROR(INDEX(Initiatives!$D$5:$D$60,MATCH(SMALL(Initiatives!$T$5:$T$60,11),Initiatives!$T$5:$T$60,0))&amp;CHAR(10)&amp;INDEX(Initiatives!$C$5:$C$60,MATCH(SMALL(Initiatives!$T$5:$T$60,11),Initiatives!$T$5:$T$60,0))&amp;", "&amp;INDEX(Initiatives!$J$5:$J$60,MATCH(SMALL(Initiatives!$T$5:$T$60,11),Initiatives!$T$5:$T$60,0))&amp;CHAR(10)&amp;INDEX(Initiatives!$L$5:$L$60,MATCH(SMALL(Initiatives!$T$5:$T$60,11),Initiatives!$T$5:$T$60,0))&amp;", "&amp;INDEX(Initiatives!$M$5:$M$60,MATCH(SMALL(Initiatives!$T$5:$T$60,11),Initiatives!$T$5:$T$60,0))&amp;" confidence","")</f>
        <v>Wave 2 rollout
Merchant adoption and rollout, Q2 2027 to Q3 2027
Planned, Medium confidence</v>
      </c>
      <c r="F17" s="76" t="str">
        <f aca="false">IFERROR(INDEX(Initiatives!$D$5:$D$60,MATCH(SMALL(Initiatives!$U$5:$U$60,11),Initiatives!$U$5:$U$60,0))&amp;CHAR(10)&amp;INDEX(Initiatives!$C$5:$C$60,MATCH(SMALL(Initiatives!$U$5:$U$60,11),Initiatives!$U$5:$U$60,0))&amp;", "&amp;INDEX(Initiatives!$J$5:$J$60,MATCH(SMALL(Initiatives!$U$5:$U$60,11),Initiatives!$U$5:$U$60,0))&amp;CHAR(10)&amp;INDEX(Initiatives!$L$5:$L$60,MATCH(SMALL(Initiatives!$U$5:$U$60,11),Initiatives!$U$5:$U$60,0))&amp;", "&amp;INDEX(Initiatives!$M$5:$M$60,MATCH(SMALL(Initiatives!$U$5:$U$60,11),Initiatives!$U$5:$U$60,0))&amp;" confidence","")</f>
        <v/>
      </c>
    </row>
    <row r="18" customFormat="false" ht="48" hidden="false" customHeight="true" outlineLevel="0" collapsed="false">
      <c r="B18" s="74" t="str">
        <f aca="false">IFERROR(INDEX(Initiatives!$D$5:$D$60,MATCH(SMALL(Initiatives!$S$5:$S$60,12),Initiatives!$S$5:$S$60,0))&amp;CHAR(10)&amp;INDEX(Initiatives!$C$5:$C$60,MATCH(SMALL(Initiatives!$S$5:$S$60,12),Initiatives!$S$5:$S$60,0))&amp;", "&amp;INDEX(Initiatives!$J$5:$J$60,MATCH(SMALL(Initiatives!$S$5:$S$60,12),Initiatives!$S$5:$S$60,0))&amp;CHAR(10)&amp;INDEX(Initiatives!$L$5:$L$60,MATCH(SMALL(Initiatives!$S$5:$S$60,12),Initiatives!$S$5:$S$60,0))&amp;", "&amp;INDEX(Initiatives!$M$5:$M$60,MATCH(SMALL(Initiatives!$S$5:$S$60,12),Initiatives!$S$5:$S$60,0))&amp;" confidence","")</f>
        <v/>
      </c>
      <c r="D18" s="75" t="str">
        <f aca="false">IFERROR(INDEX(Initiatives!$D$5:$D$60,MATCH(SMALL(Initiatives!$T$5:$T$60,12),Initiatives!$T$5:$T$60,0))&amp;CHAR(10)&amp;INDEX(Initiatives!$C$5:$C$60,MATCH(SMALL(Initiatives!$T$5:$T$60,12),Initiatives!$T$5:$T$60,0))&amp;", "&amp;INDEX(Initiatives!$J$5:$J$60,MATCH(SMALL(Initiatives!$T$5:$T$60,12),Initiatives!$T$5:$T$60,0))&amp;CHAR(10)&amp;INDEX(Initiatives!$L$5:$L$60,MATCH(SMALL(Initiatives!$T$5:$T$60,12),Initiatives!$T$5:$T$60,0))&amp;", "&amp;INDEX(Initiatives!$M$5:$M$60,MATCH(SMALL(Initiatives!$T$5:$T$60,12),Initiatives!$T$5:$T$60,0))&amp;" confidence","")</f>
        <v>Spanish language portal
Merchant adoption and rollout, Q3 2027
Planned, Low confidence</v>
      </c>
      <c r="F18" s="76" t="str">
        <f aca="false">IFERROR(INDEX(Initiatives!$D$5:$D$60,MATCH(SMALL(Initiatives!$U$5:$U$60,12),Initiatives!$U$5:$U$60,0))&amp;CHAR(10)&amp;INDEX(Initiatives!$C$5:$C$60,MATCH(SMALL(Initiatives!$U$5:$U$60,12),Initiatives!$U$5:$U$60,0))&amp;", "&amp;INDEX(Initiatives!$J$5:$J$60,MATCH(SMALL(Initiatives!$U$5:$U$60,12),Initiatives!$U$5:$U$60,0))&amp;CHAR(10)&amp;INDEX(Initiatives!$L$5:$L$60,MATCH(SMALL(Initiatives!$U$5:$U$60,12),Initiatives!$U$5:$U$60,0))&amp;", "&amp;INDEX(Initiatives!$M$5:$M$60,MATCH(SMALL(Initiatives!$U$5:$U$60,12),Initiatives!$U$5:$U$60,0))&amp;" confidence","")</f>
        <v/>
      </c>
    </row>
    <row r="19" customFormat="false" ht="48" hidden="false" customHeight="true" outlineLevel="0" collapsed="false">
      <c r="B19" s="74" t="str">
        <f aca="false">IFERROR(INDEX(Initiatives!$D$5:$D$60,MATCH(SMALL(Initiatives!$S$5:$S$60,13),Initiatives!$S$5:$S$60,0))&amp;CHAR(10)&amp;INDEX(Initiatives!$C$5:$C$60,MATCH(SMALL(Initiatives!$S$5:$S$60,13),Initiatives!$S$5:$S$60,0))&amp;", "&amp;INDEX(Initiatives!$J$5:$J$60,MATCH(SMALL(Initiatives!$S$5:$S$60,13),Initiatives!$S$5:$S$60,0))&amp;CHAR(10)&amp;INDEX(Initiatives!$L$5:$L$60,MATCH(SMALL(Initiatives!$S$5:$S$60,13),Initiatives!$S$5:$S$60,0))&amp;", "&amp;INDEX(Initiatives!$M$5:$M$60,MATCH(SMALL(Initiatives!$S$5:$S$60,13),Initiatives!$S$5:$S$60,0))&amp;" confidence","")</f>
        <v/>
      </c>
      <c r="D19" s="75" t="str">
        <f aca="false">IFERROR(INDEX(Initiatives!$D$5:$D$60,MATCH(SMALL(Initiatives!$T$5:$T$60,13),Initiatives!$T$5:$T$60,0))&amp;CHAR(10)&amp;INDEX(Initiatives!$C$5:$C$60,MATCH(SMALL(Initiatives!$T$5:$T$60,13),Initiatives!$T$5:$T$60,0))&amp;", "&amp;INDEX(Initiatives!$J$5:$J$60,MATCH(SMALL(Initiatives!$T$5:$T$60,13),Initiatives!$T$5:$T$60,0))&amp;CHAR(10)&amp;INDEX(Initiatives!$L$5:$L$60,MATCH(SMALL(Initiatives!$T$5:$T$60,13),Initiatives!$T$5:$T$60,0))&amp;", "&amp;INDEX(Initiatives!$M$5:$M$60,MATCH(SMALL(Initiatives!$T$5:$T$60,13),Initiatives!$T$5:$T$60,0))&amp;" confidence","")</f>
        <v>Fraud case management in the hub
Ops efficiency, Q3 2027 to Q4 2027
Exploring, Low confidence</v>
      </c>
      <c r="F19" s="76" t="str">
        <f aca="false">IFERROR(INDEX(Initiatives!$D$5:$D$60,MATCH(SMALL(Initiatives!$U$5:$U$60,13),Initiatives!$U$5:$U$60,0))&amp;CHAR(10)&amp;INDEX(Initiatives!$C$5:$C$60,MATCH(SMALL(Initiatives!$U$5:$U$60,13),Initiatives!$U$5:$U$60,0))&amp;", "&amp;INDEX(Initiatives!$J$5:$J$60,MATCH(SMALL(Initiatives!$U$5:$U$60,13),Initiatives!$U$5:$U$60,0))&amp;CHAR(10)&amp;INDEX(Initiatives!$L$5:$L$60,MATCH(SMALL(Initiatives!$U$5:$U$60,13),Initiatives!$U$5:$U$60,0))&amp;", "&amp;INDEX(Initiatives!$M$5:$M$60,MATCH(SMALL(Initiatives!$U$5:$U$60,13),Initiatives!$U$5:$U$60,0))&amp;" confidence","")</f>
        <v/>
      </c>
    </row>
    <row r="20" customFormat="false" ht="48" hidden="false" customHeight="true" outlineLevel="0" collapsed="false">
      <c r="B20" s="74" t="str">
        <f aca="false">IFERROR(INDEX(Initiatives!$D$5:$D$60,MATCH(SMALL(Initiatives!$S$5:$S$60,14),Initiatives!$S$5:$S$60,0))&amp;CHAR(10)&amp;INDEX(Initiatives!$C$5:$C$60,MATCH(SMALL(Initiatives!$S$5:$S$60,14),Initiatives!$S$5:$S$60,0))&amp;", "&amp;INDEX(Initiatives!$J$5:$J$60,MATCH(SMALL(Initiatives!$S$5:$S$60,14),Initiatives!$S$5:$S$60,0))&amp;CHAR(10)&amp;INDEX(Initiatives!$L$5:$L$60,MATCH(SMALL(Initiatives!$S$5:$S$60,14),Initiatives!$S$5:$S$60,0))&amp;", "&amp;INDEX(Initiatives!$M$5:$M$60,MATCH(SMALL(Initiatives!$S$5:$S$60,14),Initiatives!$S$5:$S$60,0))&amp;" confidence","")</f>
        <v/>
      </c>
      <c r="D20" s="75" t="str">
        <f aca="false">IFERROR(INDEX(Initiatives!$D$5:$D$60,MATCH(SMALL(Initiatives!$T$5:$T$60,14),Initiatives!$T$5:$T$60,0))&amp;CHAR(10)&amp;INDEX(Initiatives!$C$5:$C$60,MATCH(SMALL(Initiatives!$T$5:$T$60,14),Initiatives!$T$5:$T$60,0))&amp;", "&amp;INDEX(Initiatives!$J$5:$J$60,MATCH(SMALL(Initiatives!$T$5:$T$60,14),Initiatives!$T$5:$T$60,0))&amp;CHAR(10)&amp;INDEX(Initiatives!$L$5:$L$60,MATCH(SMALL(Initiatives!$T$5:$T$60,14),Initiatives!$T$5:$T$60,0))&amp;", "&amp;INDEX(Initiatives!$M$5:$M$60,MATCH(SMALL(Initiatives!$T$5:$T$60,14),Initiatives!$T$5:$T$60,0))&amp;" confidence","")</f>
        <v>Pre-dispute alerts and early refunds
Help merchants win more disputes, Q3 2027
Exploring, Medium confidence</v>
      </c>
      <c r="F20" s="76" t="str">
        <f aca="false">IFERROR(INDEX(Initiatives!$D$5:$D$60,MATCH(SMALL(Initiatives!$U$5:$U$60,14),Initiatives!$U$5:$U$60,0))&amp;CHAR(10)&amp;INDEX(Initiatives!$C$5:$C$60,MATCH(SMALL(Initiatives!$U$5:$U$60,14),Initiatives!$U$5:$U$60,0))&amp;", "&amp;INDEX(Initiatives!$J$5:$J$60,MATCH(SMALL(Initiatives!$U$5:$U$60,14),Initiatives!$U$5:$U$60,0))&amp;CHAR(10)&amp;INDEX(Initiatives!$L$5:$L$60,MATCH(SMALL(Initiatives!$U$5:$U$60,14),Initiatives!$U$5:$U$60,0))&amp;", "&amp;INDEX(Initiatives!$M$5:$M$60,MATCH(SMALL(Initiatives!$U$5:$U$60,14),Initiatives!$U$5:$U$60,0))&amp;" confidence","")</f>
        <v/>
      </c>
    </row>
    <row r="21" customFormat="false" ht="48" hidden="false" customHeight="true" outlineLevel="0" collapsed="false">
      <c r="B21" s="74" t="str">
        <f aca="false">IFERROR(INDEX(Initiatives!$D$5:$D$60,MATCH(SMALL(Initiatives!$S$5:$S$60,15),Initiatives!$S$5:$S$60,0))&amp;CHAR(10)&amp;INDEX(Initiatives!$C$5:$C$60,MATCH(SMALL(Initiatives!$S$5:$S$60,15),Initiatives!$S$5:$S$60,0))&amp;", "&amp;INDEX(Initiatives!$J$5:$J$60,MATCH(SMALL(Initiatives!$S$5:$S$60,15),Initiatives!$S$5:$S$60,0))&amp;CHAR(10)&amp;INDEX(Initiatives!$L$5:$L$60,MATCH(SMALL(Initiatives!$S$5:$S$60,15),Initiatives!$S$5:$S$60,0))&amp;", "&amp;INDEX(Initiatives!$M$5:$M$60,MATCH(SMALL(Initiatives!$S$5:$S$60,15),Initiatives!$S$5:$S$60,0))&amp;" confidence","")</f>
        <v/>
      </c>
      <c r="D21" s="75" t="str">
        <f aca="false">IFERROR(INDEX(Initiatives!$D$5:$D$60,MATCH(SMALL(Initiatives!$T$5:$T$60,15),Initiatives!$T$5:$T$60,0))&amp;CHAR(10)&amp;INDEX(Initiatives!$C$5:$C$60,MATCH(SMALL(Initiatives!$T$5:$T$60,15),Initiatives!$T$5:$T$60,0))&amp;", "&amp;INDEX(Initiatives!$J$5:$J$60,MATCH(SMALL(Initiatives!$T$5:$T$60,15),Initiatives!$T$5:$T$60,0))&amp;CHAR(10)&amp;INDEX(Initiatives!$L$5:$L$60,MATCH(SMALL(Initiatives!$T$5:$T$60,15),Initiatives!$T$5:$T$60,0))&amp;", "&amp;INDEX(Initiatives!$M$5:$M$60,MATCH(SMALL(Initiatives!$T$5:$T$60,15),Initiatives!$T$5:$T$60,0))&amp;" confidence","")</f>
        <v>AI evidence copilot (pilot)
Help merchants win more disputes, Q3 2027 to Q4 2027
Exploring, Low confidence</v>
      </c>
      <c r="F21" s="76" t="str">
        <f aca="false">IFERROR(INDEX(Initiatives!$D$5:$D$60,MATCH(SMALL(Initiatives!$U$5:$U$60,15),Initiatives!$U$5:$U$60,0))&amp;CHAR(10)&amp;INDEX(Initiatives!$C$5:$C$60,MATCH(SMALL(Initiatives!$U$5:$U$60,15),Initiatives!$U$5:$U$60,0))&amp;", "&amp;INDEX(Initiatives!$J$5:$J$60,MATCH(SMALL(Initiatives!$U$5:$U$60,15),Initiatives!$U$5:$U$60,0))&amp;CHAR(10)&amp;INDEX(Initiatives!$L$5:$L$60,MATCH(SMALL(Initiatives!$U$5:$U$60,15),Initiatives!$U$5:$U$60,0))&amp;", "&amp;INDEX(Initiatives!$M$5:$M$60,MATCH(SMALL(Initiatives!$U$5:$U$60,15),Initiatives!$U$5:$U$60,0))&amp;" confidence","")</f>
        <v/>
      </c>
    </row>
    <row r="22" customFormat="false" ht="48" hidden="false" customHeight="true" outlineLevel="0" collapsed="false">
      <c r="B22" s="74" t="str">
        <f aca="false">IFERROR(INDEX(Initiatives!$D$5:$D$60,MATCH(SMALL(Initiatives!$S$5:$S$60,16),Initiatives!$S$5:$S$60,0))&amp;CHAR(10)&amp;INDEX(Initiatives!$C$5:$C$60,MATCH(SMALL(Initiatives!$S$5:$S$60,16),Initiatives!$S$5:$S$60,0))&amp;", "&amp;INDEX(Initiatives!$J$5:$J$60,MATCH(SMALL(Initiatives!$S$5:$S$60,16),Initiatives!$S$5:$S$60,0))&amp;CHAR(10)&amp;INDEX(Initiatives!$L$5:$L$60,MATCH(SMALL(Initiatives!$S$5:$S$60,16),Initiatives!$S$5:$S$60,0))&amp;", "&amp;INDEX(Initiatives!$M$5:$M$60,MATCH(SMALL(Initiatives!$S$5:$S$60,16),Initiatives!$S$5:$S$60,0))&amp;" confidence","")</f>
        <v/>
      </c>
      <c r="D22" s="75" t="str">
        <f aca="false">IFERROR(INDEX(Initiatives!$D$5:$D$60,MATCH(SMALL(Initiatives!$T$5:$T$60,16),Initiatives!$T$5:$T$60,0))&amp;CHAR(10)&amp;INDEX(Initiatives!$C$5:$C$60,MATCH(SMALL(Initiatives!$T$5:$T$60,16),Initiatives!$T$5:$T$60,0))&amp;", "&amp;INDEX(Initiatives!$J$5:$J$60,MATCH(SMALL(Initiatives!$T$5:$T$60,16),Initiatives!$T$5:$T$60,0))&amp;CHAR(10)&amp;INDEX(Initiatives!$L$5:$L$60,MATCH(SMALL(Initiatives!$T$5:$T$60,16),Initiatives!$T$5:$T$60,0))&amp;", "&amp;INDEX(Initiatives!$M$5:$M$60,MATCH(SMALL(Initiatives!$T$5:$T$60,16),Initiatives!$T$5:$T$60,0))&amp;" confidence","")</f>
        <v/>
      </c>
      <c r="F22" s="76" t="str">
        <f aca="false">IFERROR(INDEX(Initiatives!$D$5:$D$60,MATCH(SMALL(Initiatives!$U$5:$U$60,16),Initiatives!$U$5:$U$60,0))&amp;CHAR(10)&amp;INDEX(Initiatives!$C$5:$C$60,MATCH(SMALL(Initiatives!$U$5:$U$60,16),Initiatives!$U$5:$U$60,0))&amp;", "&amp;INDEX(Initiatives!$J$5:$J$60,MATCH(SMALL(Initiatives!$U$5:$U$60,16),Initiatives!$U$5:$U$60,0))&amp;CHAR(10)&amp;INDEX(Initiatives!$L$5:$L$60,MATCH(SMALL(Initiatives!$U$5:$U$60,16),Initiatives!$U$5:$U$60,0))&amp;", "&amp;INDEX(Initiatives!$M$5:$M$60,MATCH(SMALL(Initiatives!$U$5:$U$60,16),Initiatives!$U$5:$U$60,0))&amp;" confidence","")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26"/>
    <col collapsed="false" customWidth="true" hidden="false" outlineLevel="0" max="3" min="3" style="0" width="40"/>
    <col collapsed="false" customWidth="true" hidden="false" outlineLevel="0" max="4" min="4" style="0" width="46"/>
    <col collapsed="false" customWidth="true" hidden="false" outlineLevel="0" max="5" min="5" style="0" width="20"/>
    <col collapsed="false" customWidth="true" hidden="false" outlineLevel="0" max="6" min="6" style="0" width="10"/>
    <col collapsed="false" customWidth="true" hidden="false" outlineLevel="0" max="9" min="7" style="0" width="7"/>
    <col collapsed="false" customWidth="true" hidden="false" outlineLevel="0" max="10" min="10" style="0" width="11"/>
  </cols>
  <sheetData>
    <row r="1" customFormat="false" ht="19.7" hidden="false" customHeight="false" outlineLevel="0" collapsed="false">
      <c r="A1" s="31" t="s">
        <v>153</v>
      </c>
    </row>
    <row r="2" customFormat="false" ht="15" hidden="false" customHeight="false" outlineLevel="0" collapsed="false">
      <c r="A2" s="23" t="s">
        <v>154</v>
      </c>
    </row>
    <row r="4" customFormat="false" ht="31.5" hidden="false" customHeight="true" outlineLevel="0" collapsed="false">
      <c r="A4" s="43" t="s">
        <v>155</v>
      </c>
      <c r="B4" s="43" t="s">
        <v>68</v>
      </c>
      <c r="C4" s="43" t="s">
        <v>156</v>
      </c>
      <c r="D4" s="43" t="s">
        <v>157</v>
      </c>
      <c r="E4" s="43" t="s">
        <v>70</v>
      </c>
      <c r="F4" s="77" t="s">
        <v>63</v>
      </c>
      <c r="G4" s="77" t="s">
        <v>20</v>
      </c>
      <c r="H4" s="77" t="s">
        <v>22</v>
      </c>
      <c r="I4" s="77" t="s">
        <v>24</v>
      </c>
      <c r="J4" s="77" t="s">
        <v>64</v>
      </c>
    </row>
    <row r="5" customFormat="false" ht="43.5" hidden="false" customHeight="true" outlineLevel="0" collapsed="false">
      <c r="A5" s="78" t="s">
        <v>104</v>
      </c>
      <c r="B5" s="11" t="s">
        <v>105</v>
      </c>
      <c r="C5" s="12" t="s">
        <v>158</v>
      </c>
      <c r="D5" s="12" t="s">
        <v>159</v>
      </c>
      <c r="E5" s="12" t="s">
        <v>160</v>
      </c>
      <c r="F5" s="20" t="n">
        <f aca="false">COUNTIFS(Initiatives!$B$5:$B$60,A5)</f>
        <v>3</v>
      </c>
      <c r="G5" s="20" t="n">
        <f aca="false">COUNTIFS(Initiatives!$B$5:$B$60,A5,Initiatives!$K$5:$K$60,"Now")</f>
        <v>3</v>
      </c>
      <c r="H5" s="20" t="n">
        <f aca="false">COUNTIFS(Initiatives!$B$5:$B$60,A5,Initiatives!$K$5:$K$60,"Next")</f>
        <v>0</v>
      </c>
      <c r="I5" s="20" t="n">
        <f aca="false">COUNTIFS(Initiatives!$B$5:$B$60,A5,Initiatives!$K$5:$K$60,"Later")</f>
        <v>0</v>
      </c>
      <c r="J5" s="20" t="n">
        <f aca="false">COUNTIFS(Initiatives!$B$5:$B$60,A5,Initiatives!$L$5:$L$60,"In progress")+COUNTIFS(Initiatives!$B$5:$B$60,A5,Initiatives!$L$5:$L$60,"Committed")</f>
        <v>3</v>
      </c>
    </row>
    <row r="6" customFormat="false" ht="43.5" hidden="false" customHeight="true" outlineLevel="0" collapsed="false">
      <c r="A6" s="79" t="s">
        <v>109</v>
      </c>
      <c r="B6" s="11" t="s">
        <v>110</v>
      </c>
      <c r="C6" s="12" t="s">
        <v>161</v>
      </c>
      <c r="D6" s="12" t="s">
        <v>162</v>
      </c>
      <c r="E6" s="12" t="s">
        <v>163</v>
      </c>
      <c r="F6" s="20" t="n">
        <f aca="false">COUNTIFS(Initiatives!$B$5:$B$60,A6)</f>
        <v>6</v>
      </c>
      <c r="G6" s="20" t="n">
        <f aca="false">COUNTIFS(Initiatives!$B$5:$B$60,A6,Initiatives!$K$5:$K$60,"Now")</f>
        <v>0</v>
      </c>
      <c r="H6" s="20" t="n">
        <f aca="false">COUNTIFS(Initiatives!$B$5:$B$60,A6,Initiatives!$K$5:$K$60,"Next")</f>
        <v>5</v>
      </c>
      <c r="I6" s="20" t="n">
        <f aca="false">COUNTIFS(Initiatives!$B$5:$B$60,A6,Initiatives!$K$5:$K$60,"Later")</f>
        <v>1</v>
      </c>
      <c r="J6" s="20" t="n">
        <f aca="false">COUNTIFS(Initiatives!$B$5:$B$60,A6,Initiatives!$L$5:$L$60,"In progress")+COUNTIFS(Initiatives!$B$5:$B$60,A6,Initiatives!$L$5:$L$60,"Committed")</f>
        <v>1</v>
      </c>
    </row>
    <row r="7" customFormat="false" ht="43.5" hidden="false" customHeight="true" outlineLevel="0" collapsed="false">
      <c r="A7" s="80" t="s">
        <v>117</v>
      </c>
      <c r="B7" s="11" t="s">
        <v>118</v>
      </c>
      <c r="C7" s="12" t="s">
        <v>164</v>
      </c>
      <c r="D7" s="12" t="s">
        <v>165</v>
      </c>
      <c r="E7" s="12" t="s">
        <v>160</v>
      </c>
      <c r="F7" s="20" t="n">
        <f aca="false">COUNTIFS(Initiatives!$B$5:$B$60,A7)</f>
        <v>8</v>
      </c>
      <c r="G7" s="20" t="n">
        <f aca="false">COUNTIFS(Initiatives!$B$5:$B$60,A7,Initiatives!$K$5:$K$60,"Now")</f>
        <v>0</v>
      </c>
      <c r="H7" s="20" t="n">
        <f aca="false">COUNTIFS(Initiatives!$B$5:$B$60,A7,Initiatives!$K$5:$K$60,"Next")</f>
        <v>5</v>
      </c>
      <c r="I7" s="20" t="n">
        <f aca="false">COUNTIFS(Initiatives!$B$5:$B$60,A7,Initiatives!$K$5:$K$60,"Later")</f>
        <v>3</v>
      </c>
      <c r="J7" s="20" t="n">
        <f aca="false">COUNTIFS(Initiatives!$B$5:$B$60,A7,Initiatives!$L$5:$L$60,"In progress")+COUNTIFS(Initiatives!$B$5:$B$60,A7,Initiatives!$L$5:$L$60,"Committed")</f>
        <v>0</v>
      </c>
    </row>
    <row r="8" customFormat="false" ht="43.5" hidden="false" customHeight="true" outlineLevel="0" collapsed="false">
      <c r="A8" s="81" t="s">
        <v>127</v>
      </c>
      <c r="B8" s="11" t="s">
        <v>128</v>
      </c>
      <c r="C8" s="12" t="s">
        <v>166</v>
      </c>
      <c r="D8" s="12" t="s">
        <v>167</v>
      </c>
      <c r="E8" s="12" t="s">
        <v>168</v>
      </c>
      <c r="F8" s="20" t="n">
        <f aca="false">COUNTIFS(Initiatives!$B$5:$B$60,A8)</f>
        <v>5</v>
      </c>
      <c r="G8" s="20" t="n">
        <f aca="false">COUNTIFS(Initiatives!$B$5:$B$60,A8,Initiatives!$K$5:$K$60,"Now")</f>
        <v>1</v>
      </c>
      <c r="H8" s="20" t="n">
        <f aca="false">COUNTIFS(Initiatives!$B$5:$B$60,A8,Initiatives!$K$5:$K$60,"Next")</f>
        <v>3</v>
      </c>
      <c r="I8" s="20" t="n">
        <f aca="false">COUNTIFS(Initiatives!$B$5:$B$60,A8,Initiatives!$K$5:$K$60,"Later")</f>
        <v>1</v>
      </c>
      <c r="J8" s="20" t="n">
        <f aca="false">COUNTIFS(Initiatives!$B$5:$B$60,A8,Initiatives!$L$5:$L$60,"In progress")+COUNTIFS(Initiatives!$B$5:$B$60,A8,Initiatives!$L$5:$L$60,"Committed")</f>
        <v>0</v>
      </c>
    </row>
    <row r="9" customFormat="false" ht="43.5" hidden="false" customHeight="true" outlineLevel="0" collapsed="false">
      <c r="A9" s="82" t="s">
        <v>134</v>
      </c>
      <c r="B9" s="11" t="s">
        <v>135</v>
      </c>
      <c r="C9" s="12" t="s">
        <v>169</v>
      </c>
      <c r="D9" s="12" t="s">
        <v>170</v>
      </c>
      <c r="E9" s="12" t="s">
        <v>171</v>
      </c>
      <c r="F9" s="20" t="n">
        <f aca="false">COUNTIFS(Initiatives!$B$5:$B$60,A9)</f>
        <v>4</v>
      </c>
      <c r="G9" s="20" t="n">
        <f aca="false">COUNTIFS(Initiatives!$B$5:$B$60,A9,Initiatives!$K$5:$K$60,"Now")</f>
        <v>2</v>
      </c>
      <c r="H9" s="20" t="n">
        <f aca="false">COUNTIFS(Initiatives!$B$5:$B$60,A9,Initiatives!$K$5:$K$60,"Next")</f>
        <v>2</v>
      </c>
      <c r="I9" s="20" t="n">
        <f aca="false">COUNTIFS(Initiatives!$B$5:$B$60,A9,Initiatives!$K$5:$K$60,"Later")</f>
        <v>0</v>
      </c>
      <c r="J9" s="20" t="n">
        <f aca="false">COUNTIFS(Initiatives!$B$5:$B$60,A9,Initiatives!$L$5:$L$60,"In progress")+COUNTIFS(Initiatives!$B$5:$B$60,A9,Initiatives!$L$5:$L$60,"Committed")</f>
        <v>2</v>
      </c>
    </row>
    <row r="10" customFormat="false" ht="43.5" hidden="false" customHeight="true" outlineLevel="0" collapsed="false">
      <c r="A10" s="83" t="s">
        <v>140</v>
      </c>
      <c r="B10" s="11" t="s">
        <v>141</v>
      </c>
      <c r="C10" s="12" t="s">
        <v>172</v>
      </c>
      <c r="D10" s="12" t="s">
        <v>173</v>
      </c>
      <c r="E10" s="12" t="s">
        <v>174</v>
      </c>
      <c r="F10" s="20" t="n">
        <f aca="false">COUNTIFS(Initiatives!$B$5:$B$60,A10)</f>
        <v>4</v>
      </c>
      <c r="G10" s="20" t="n">
        <f aca="false">COUNTIFS(Initiatives!$B$5:$B$60,A10,Initiatives!$K$5:$K$60,"Now")</f>
        <v>0</v>
      </c>
      <c r="H10" s="20" t="n">
        <f aca="false">COUNTIFS(Initiatives!$B$5:$B$60,A10,Initiatives!$K$5:$K$60,"Next")</f>
        <v>0</v>
      </c>
      <c r="I10" s="20" t="n">
        <f aca="false">COUNTIFS(Initiatives!$B$5:$B$60,A10,Initiatives!$K$5:$K$60,"Later")</f>
        <v>4</v>
      </c>
      <c r="J10" s="20" t="n">
        <f aca="false">COUNTIFS(Initiatives!$B$5:$B$60,A10,Initiatives!$L$5:$L$60,"In progress")+COUNTIFS(Initiatives!$B$5:$B$60,A10,Initiatives!$L$5:$L$60,"Committed")</f>
        <v>0</v>
      </c>
    </row>
    <row r="11" customFormat="false" ht="15" hidden="false" customHeight="false" outlineLevel="0" collapsed="false">
      <c r="B11" s="84" t="s">
        <v>69</v>
      </c>
      <c r="F11" s="85" t="n">
        <f aca="false">SUM(F5:F10)</f>
        <v>30</v>
      </c>
      <c r="G11" s="85" t="n">
        <f aca="false">SUM(G5:G10)</f>
        <v>6</v>
      </c>
      <c r="H11" s="85" t="n">
        <f aca="false">SUM(H5:H10)</f>
        <v>15</v>
      </c>
      <c r="I11" s="85" t="n">
        <f aca="false">SUM(I5:I10)</f>
        <v>9</v>
      </c>
      <c r="J11" s="85" t="n">
        <f aca="false">SUM(J5:J10)</f>
        <v>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U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4" ySplit="4" topLeftCell="E5" activePane="bottomRight" state="frozen"/>
      <selection pane="topLeft" activeCell="A1" activeCellId="0" sqref="A1"/>
      <selection pane="topRight" activeCell="E1" activeCellId="0" sqref="E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7"/>
    <col collapsed="false" customWidth="true" hidden="false" outlineLevel="0" max="3" min="3" style="0" width="20"/>
    <col collapsed="false" customWidth="true" hidden="false" outlineLevel="0" max="4" min="4" style="0" width="30"/>
    <col collapsed="false" customWidth="true" hidden="false" outlineLevel="0" max="5" min="5" style="0" width="40"/>
    <col collapsed="false" customWidth="true" hidden="false" outlineLevel="0" max="6" min="6" style="0" width="16"/>
    <col collapsed="false" customWidth="true" hidden="false" outlineLevel="0" max="8" min="7" style="0" width="11"/>
    <col collapsed="false" customWidth="true" hidden="false" outlineLevel="0" max="9" min="9" style="0" width="7"/>
    <col collapsed="false" customWidth="true" hidden="false" outlineLevel="0" max="10" min="10" style="0" width="16"/>
    <col collapsed="false" customWidth="true" hidden="false" outlineLevel="0" max="11" min="11" style="0" width="9"/>
    <col collapsed="false" customWidth="true" hidden="false" outlineLevel="0" max="12" min="12" style="0" width="14"/>
    <col collapsed="false" customWidth="true" hidden="false" outlineLevel="0" max="13" min="13" style="0" width="10"/>
    <col collapsed="false" customWidth="true" hidden="false" outlineLevel="0" max="14" min="14" style="0" width="7"/>
    <col collapsed="false" customWidth="true" hidden="false" outlineLevel="0" max="15" min="15" style="0" width="18"/>
    <col collapsed="false" customWidth="true" hidden="false" outlineLevel="0" max="16" min="16" style="0" width="30"/>
    <col collapsed="false" customWidth="true" hidden="false" outlineLevel="0" max="17" min="17" style="0" width="18"/>
    <col collapsed="false" customWidth="true" hidden="false" outlineLevel="0" max="18" min="18" style="0" width="16"/>
    <col collapsed="false" customWidth="true" hidden="true" outlineLevel="0" max="21" min="19" style="0" width="4"/>
  </cols>
  <sheetData>
    <row r="1" customFormat="false" ht="19.7" hidden="false" customHeight="false" outlineLevel="0" collapsed="false">
      <c r="A1" s="31" t="s">
        <v>63</v>
      </c>
    </row>
    <row r="2" customFormat="false" ht="15" hidden="false" customHeight="false" outlineLevel="0" collapsed="false">
      <c r="A2" s="23" t="s">
        <v>175</v>
      </c>
    </row>
    <row r="3" customFormat="false" ht="15" hidden="false" customHeight="false" outlineLevel="0" collapsed="false">
      <c r="A3" s="69" t="s">
        <v>176</v>
      </c>
    </row>
    <row r="4" customFormat="false" ht="31.5" hidden="false" customHeight="true" outlineLevel="0" collapsed="false">
      <c r="A4" s="43" t="s">
        <v>100</v>
      </c>
      <c r="B4" s="43" t="s">
        <v>155</v>
      </c>
      <c r="C4" s="77" t="s">
        <v>68</v>
      </c>
      <c r="D4" s="43" t="s">
        <v>101</v>
      </c>
      <c r="E4" s="43" t="s">
        <v>177</v>
      </c>
      <c r="F4" s="43" t="s">
        <v>178</v>
      </c>
      <c r="G4" s="43" t="s">
        <v>102</v>
      </c>
      <c r="H4" s="43" t="s">
        <v>103</v>
      </c>
      <c r="I4" s="77" t="s">
        <v>179</v>
      </c>
      <c r="J4" s="77" t="s">
        <v>180</v>
      </c>
      <c r="K4" s="77" t="s">
        <v>18</v>
      </c>
      <c r="L4" s="43" t="s">
        <v>27</v>
      </c>
      <c r="M4" s="43" t="s">
        <v>181</v>
      </c>
      <c r="N4" s="43" t="s">
        <v>182</v>
      </c>
      <c r="O4" s="43" t="s">
        <v>70</v>
      </c>
      <c r="P4" s="43" t="s">
        <v>183</v>
      </c>
      <c r="Q4" s="43" t="s">
        <v>184</v>
      </c>
      <c r="R4" s="43" t="s">
        <v>185</v>
      </c>
      <c r="S4" s="77" t="s">
        <v>186</v>
      </c>
      <c r="T4" s="77" t="s">
        <v>187</v>
      </c>
      <c r="U4" s="77" t="s">
        <v>188</v>
      </c>
    </row>
    <row r="5" customFormat="false" ht="45" hidden="false" customHeight="true" outlineLevel="0" collapsed="false">
      <c r="A5" s="48" t="s">
        <v>106</v>
      </c>
      <c r="B5" s="20" t="s">
        <v>104</v>
      </c>
      <c r="C5" s="86" t="str">
        <f aca="false">IF(B5="","",IFERROR(INDEX('Themes &amp; Outcomes'!$B$5:$B$10,MATCH(B5,'Themes &amp; Outcomes'!$A$5:$A$10,0)),"Unknown theme"))</f>
        <v>Launch the MVP</v>
      </c>
      <c r="D5" s="11" t="s">
        <v>189</v>
      </c>
      <c r="E5" s="12" t="s">
        <v>190</v>
      </c>
      <c r="F5" s="12" t="s">
        <v>191</v>
      </c>
      <c r="G5" s="21" t="n">
        <v>46223</v>
      </c>
      <c r="H5" s="21" t="n">
        <v>46332</v>
      </c>
      <c r="I5" s="87" t="n">
        <f aca="false">IF(OR(G5="",H5=""),"",ROUND((H5-G5+1)/7,0))</f>
        <v>16</v>
      </c>
      <c r="J5" s="87" t="str">
        <f aca="false">IF(OR(G5="",H5=""),"","Q"&amp;INT((MONTH(G5)+2)/3)&amp;" "&amp;YEAR(G5)&amp;IF("Q"&amp;INT((MONTH(G5)+2)/3)&amp;" "&amp;YEAR(G5)="Q"&amp;INT((MONTH(H5)+2)/3)&amp;" "&amp;YEAR(H5),""," to "&amp;"Q"&amp;INT((MONTH(H5)+2)/3)&amp;" "&amp;YEAR(H5)))</f>
        <v>Q3 2026 to Q4 2026</v>
      </c>
      <c r="K5" s="88" t="str">
        <f aca="false">IF(A5="","",IF(L5="Done","Done",IF(OR(L5="In progress",G5&lt;=Cover!$C$7+120),"Now",IF(G5&lt;=Cover!$C$7+365,"Next","Later"))))</f>
        <v>Now</v>
      </c>
      <c r="L5" s="20" t="s">
        <v>30</v>
      </c>
      <c r="M5" s="20" t="s">
        <v>192</v>
      </c>
      <c r="N5" s="20" t="s">
        <v>193</v>
      </c>
      <c r="O5" s="12" t="s">
        <v>194</v>
      </c>
      <c r="P5" s="12" t="s">
        <v>195</v>
      </c>
      <c r="Q5" s="12" t="s">
        <v>196</v>
      </c>
      <c r="R5" s="12" t="s">
        <v>197</v>
      </c>
      <c r="S5" s="89" t="n">
        <f aca="false">IF(K5="Now",G5+ROW()/100000,"")</f>
        <v>46223.00005</v>
      </c>
      <c r="T5" s="86" t="str">
        <f aca="false">IF(K5="Next",G5+ROW()/100000,"")</f>
        <v/>
      </c>
      <c r="U5" s="86" t="str">
        <f aca="false">IF(K5="Later",G5+ROW()/100000,"")</f>
        <v/>
      </c>
    </row>
    <row r="6" customFormat="false" ht="31.5" hidden="false" customHeight="true" outlineLevel="0" collapsed="false">
      <c r="A6" s="48" t="s">
        <v>107</v>
      </c>
      <c r="B6" s="20" t="s">
        <v>104</v>
      </c>
      <c r="C6" s="86" t="str">
        <f aca="false">IF(B6="","",IFERROR(INDEX('Themes &amp; Outcomes'!$B$5:$B$10,MATCH(B6,'Themes &amp; Outcomes'!$A$5:$A$10,0)),"Unknown theme"))</f>
        <v>Launch the MVP</v>
      </c>
      <c r="D6" s="11" t="s">
        <v>198</v>
      </c>
      <c r="E6" s="12" t="s">
        <v>199</v>
      </c>
      <c r="F6" s="12" t="s">
        <v>200</v>
      </c>
      <c r="G6" s="21" t="n">
        <v>46335</v>
      </c>
      <c r="H6" s="21" t="n">
        <v>46360</v>
      </c>
      <c r="I6" s="87" t="n">
        <f aca="false">IF(OR(G6="",H6=""),"",ROUND((H6-G6+1)/7,0))</f>
        <v>4</v>
      </c>
      <c r="J6" s="87" t="str">
        <f aca="false">IF(OR(G6="",H6=""),"","Q"&amp;INT((MONTH(G6)+2)/3)&amp;" "&amp;YEAR(G6)&amp;IF("Q"&amp;INT((MONTH(G6)+2)/3)&amp;" "&amp;YEAR(G6)="Q"&amp;INT((MONTH(H6)+2)/3)&amp;" "&amp;YEAR(H6),""," to "&amp;"Q"&amp;INT((MONTH(H6)+2)/3)&amp;" "&amp;YEAR(H6)))</f>
        <v>Q4 2026</v>
      </c>
      <c r="K6" s="88" t="str">
        <f aca="false">IF(A6="","",IF(L6="Done","Done",IF(OR(L6="In progress",G6&lt;=Cover!$C$7+120),"Now",IF(G6&lt;=Cover!$C$7+365,"Next","Later"))))</f>
        <v>Now</v>
      </c>
      <c r="L6" s="20" t="s">
        <v>32</v>
      </c>
      <c r="M6" s="20" t="s">
        <v>201</v>
      </c>
      <c r="N6" s="20" t="s">
        <v>202</v>
      </c>
      <c r="O6" s="12" t="s">
        <v>194</v>
      </c>
      <c r="P6" s="12" t="s">
        <v>203</v>
      </c>
      <c r="Q6" s="12" t="s">
        <v>204</v>
      </c>
      <c r="R6" s="12" t="s">
        <v>197</v>
      </c>
      <c r="S6" s="89" t="n">
        <f aca="false">IF(K6="Now",G6+ROW()/100000,"")</f>
        <v>46335.00006</v>
      </c>
      <c r="T6" s="86" t="str">
        <f aca="false">IF(K6="Next",G6+ROW()/100000,"")</f>
        <v/>
      </c>
      <c r="U6" s="86" t="str">
        <f aca="false">IF(K6="Later",G6+ROW()/100000,"")</f>
        <v/>
      </c>
    </row>
    <row r="7" customFormat="false" ht="31.5" hidden="false" customHeight="true" outlineLevel="0" collapsed="false">
      <c r="A7" s="48" t="s">
        <v>108</v>
      </c>
      <c r="B7" s="20" t="s">
        <v>104</v>
      </c>
      <c r="C7" s="86" t="str">
        <f aca="false">IF(B7="","",IFERROR(INDEX('Themes &amp; Outcomes'!$B$5:$B$10,MATCH(B7,'Themes &amp; Outcomes'!$A$5:$A$10,0)),"Unknown theme"))</f>
        <v>Launch the MVP</v>
      </c>
      <c r="D7" s="11" t="s">
        <v>205</v>
      </c>
      <c r="E7" s="12" t="s">
        <v>206</v>
      </c>
      <c r="F7" s="12" t="s">
        <v>207</v>
      </c>
      <c r="G7" s="21" t="n">
        <v>46367</v>
      </c>
      <c r="H7" s="21" t="n">
        <v>46409</v>
      </c>
      <c r="I7" s="87" t="n">
        <f aca="false">IF(OR(G7="",H7=""),"",ROUND((H7-G7+1)/7,0))</f>
        <v>6</v>
      </c>
      <c r="J7" s="87" t="str">
        <f aca="false">IF(OR(G7="",H7=""),"","Q"&amp;INT((MONTH(G7)+2)/3)&amp;" "&amp;YEAR(G7)&amp;IF("Q"&amp;INT((MONTH(G7)+2)/3)&amp;" "&amp;YEAR(G7)="Q"&amp;INT((MONTH(H7)+2)/3)&amp;" "&amp;YEAR(H7),""," to "&amp;"Q"&amp;INT((MONTH(H7)+2)/3)&amp;" "&amp;YEAR(H7)))</f>
        <v>Q4 2026 to Q1 2027</v>
      </c>
      <c r="K7" s="88" t="str">
        <f aca="false">IF(A7="","",IF(L7="Done","Done",IF(OR(L7="In progress",G7&lt;=Cover!$C$7+120),"Now",IF(G7&lt;=Cover!$C$7+365,"Next","Later"))))</f>
        <v>Now</v>
      </c>
      <c r="L7" s="20" t="s">
        <v>32</v>
      </c>
      <c r="M7" s="20" t="s">
        <v>201</v>
      </c>
      <c r="N7" s="20" t="s">
        <v>208</v>
      </c>
      <c r="O7" s="12" t="s">
        <v>194</v>
      </c>
      <c r="P7" s="12" t="s">
        <v>209</v>
      </c>
      <c r="Q7" s="12" t="s">
        <v>210</v>
      </c>
      <c r="R7" s="12" t="s">
        <v>211</v>
      </c>
      <c r="S7" s="89" t="n">
        <f aca="false">IF(K7="Now",G7+ROW()/100000,"")</f>
        <v>46367.00007</v>
      </c>
      <c r="T7" s="86" t="str">
        <f aca="false">IF(K7="Next",G7+ROW()/100000,"")</f>
        <v/>
      </c>
      <c r="U7" s="86" t="str">
        <f aca="false">IF(K7="Later",G7+ROW()/100000,"")</f>
        <v/>
      </c>
    </row>
    <row r="8" customFormat="false" ht="31.5" hidden="false" customHeight="true" outlineLevel="0" collapsed="false">
      <c r="A8" s="48" t="s">
        <v>136</v>
      </c>
      <c r="B8" s="20" t="s">
        <v>134</v>
      </c>
      <c r="C8" s="86" t="str">
        <f aca="false">IF(B8="","",IFERROR(INDEX('Themes &amp; Outcomes'!$B$5:$B$10,MATCH(B8,'Themes &amp; Outcomes'!$A$5:$A$10,0)),"Unknown theme"))</f>
        <v>Trust, compliance and data</v>
      </c>
      <c r="D8" s="11" t="s">
        <v>212</v>
      </c>
      <c r="E8" s="12" t="s">
        <v>213</v>
      </c>
      <c r="F8" s="12" t="s">
        <v>214</v>
      </c>
      <c r="G8" s="21" t="n">
        <v>46272</v>
      </c>
      <c r="H8" s="21" t="n">
        <v>46283</v>
      </c>
      <c r="I8" s="87" t="n">
        <f aca="false">IF(OR(G8="",H8=""),"",ROUND((H8-G8+1)/7,0))</f>
        <v>2</v>
      </c>
      <c r="J8" s="87" t="str">
        <f aca="false">IF(OR(G8="",H8=""),"","Q"&amp;INT((MONTH(G8)+2)/3)&amp;" "&amp;YEAR(G8)&amp;IF("Q"&amp;INT((MONTH(G8)+2)/3)&amp;" "&amp;YEAR(G8)="Q"&amp;INT((MONTH(H8)+2)/3)&amp;" "&amp;YEAR(H8),""," to "&amp;"Q"&amp;INT((MONTH(H8)+2)/3)&amp;" "&amp;YEAR(H8)))</f>
        <v>Q3 2026</v>
      </c>
      <c r="K8" s="88" t="str">
        <f aca="false">IF(A8="","",IF(L8="Done","Done",IF(OR(L8="In progress",G8&lt;=Cover!$C$7+120),"Now",IF(G8&lt;=Cover!$C$7+365,"Next","Later"))))</f>
        <v>Now</v>
      </c>
      <c r="L8" s="20" t="s">
        <v>30</v>
      </c>
      <c r="M8" s="20" t="s">
        <v>201</v>
      </c>
      <c r="N8" s="20" t="s">
        <v>215</v>
      </c>
      <c r="O8" s="12" t="s">
        <v>160</v>
      </c>
      <c r="P8" s="12" t="s">
        <v>216</v>
      </c>
      <c r="Q8" s="12" t="s">
        <v>217</v>
      </c>
      <c r="R8" s="12" t="s">
        <v>218</v>
      </c>
      <c r="S8" s="89" t="n">
        <f aca="false">IF(K8="Now",G8+ROW()/100000,"")</f>
        <v>46272.00008</v>
      </c>
      <c r="T8" s="86" t="str">
        <f aca="false">IF(K8="Next",G8+ROW()/100000,"")</f>
        <v/>
      </c>
      <c r="U8" s="86" t="str">
        <f aca="false">IF(K8="Later",G8+ROW()/100000,"")</f>
        <v/>
      </c>
    </row>
    <row r="9" customFormat="false" ht="31.5" hidden="false" customHeight="true" outlineLevel="0" collapsed="false">
      <c r="A9" s="48" t="s">
        <v>137</v>
      </c>
      <c r="B9" s="20" t="s">
        <v>134</v>
      </c>
      <c r="C9" s="86" t="str">
        <f aca="false">IF(B9="","",IFERROR(INDEX('Themes &amp; Outcomes'!$B$5:$B$10,MATCH(B9,'Themes &amp; Outcomes'!$A$5:$A$10,0)),"Unknown theme"))</f>
        <v>Trust, compliance and data</v>
      </c>
      <c r="D9" s="11" t="s">
        <v>219</v>
      </c>
      <c r="E9" s="12" t="s">
        <v>220</v>
      </c>
      <c r="F9" s="12" t="s">
        <v>221</v>
      </c>
      <c r="G9" s="21" t="n">
        <v>46273</v>
      </c>
      <c r="H9" s="21" t="n">
        <v>46346</v>
      </c>
      <c r="I9" s="87" t="n">
        <f aca="false">IF(OR(G9="",H9=""),"",ROUND((H9-G9+1)/7,0))</f>
        <v>11</v>
      </c>
      <c r="J9" s="87" t="str">
        <f aca="false">IF(OR(G9="",H9=""),"","Q"&amp;INT((MONTH(G9)+2)/3)&amp;" "&amp;YEAR(G9)&amp;IF("Q"&amp;INT((MONTH(G9)+2)/3)&amp;" "&amp;YEAR(G9)="Q"&amp;INT((MONTH(H9)+2)/3)&amp;" "&amp;YEAR(H9),""," to "&amp;"Q"&amp;INT((MONTH(H9)+2)/3)&amp;" "&amp;YEAR(H9)))</f>
        <v>Q3 2026 to Q4 2026</v>
      </c>
      <c r="K9" s="88" t="str">
        <f aca="false">IF(A9="","",IF(L9="Done","Done",IF(OR(L9="In progress",G9&lt;=Cover!$C$7+120),"Now",IF(G9&lt;=Cover!$C$7+365,"Next","Later"))))</f>
        <v>Now</v>
      </c>
      <c r="L9" s="20" t="s">
        <v>30</v>
      </c>
      <c r="M9" s="20" t="s">
        <v>222</v>
      </c>
      <c r="N9" s="20" t="s">
        <v>208</v>
      </c>
      <c r="O9" s="12" t="s">
        <v>160</v>
      </c>
      <c r="P9" s="12" t="s">
        <v>223</v>
      </c>
      <c r="Q9" s="12" t="s">
        <v>224</v>
      </c>
      <c r="R9" s="12" t="s">
        <v>225</v>
      </c>
      <c r="S9" s="89" t="n">
        <f aca="false">IF(K9="Now",G9+ROW()/100000,"")</f>
        <v>46273.00009</v>
      </c>
      <c r="T9" s="86" t="str">
        <f aca="false">IF(K9="Next",G9+ROW()/100000,"")</f>
        <v/>
      </c>
      <c r="U9" s="86" t="str">
        <f aca="false">IF(K9="Later",G9+ROW()/100000,"")</f>
        <v/>
      </c>
    </row>
    <row r="10" customFormat="false" ht="31.5" hidden="false" customHeight="true" outlineLevel="0" collapsed="false">
      <c r="A10" s="48" t="s">
        <v>129</v>
      </c>
      <c r="B10" s="20" t="s">
        <v>127</v>
      </c>
      <c r="C10" s="86" t="str">
        <f aca="false">IF(B10="","",IFERROR(INDEX('Themes &amp; Outcomes'!$B$5:$B$10,MATCH(B10,'Themes &amp; Outcomes'!$A$5:$A$10,0)),"Unknown theme"))</f>
        <v>Ops efficiency</v>
      </c>
      <c r="D10" s="11" t="s">
        <v>226</v>
      </c>
      <c r="E10" s="12" t="s">
        <v>227</v>
      </c>
      <c r="F10" s="12" t="s">
        <v>228</v>
      </c>
      <c r="G10" s="21" t="n">
        <v>46321</v>
      </c>
      <c r="H10" s="21" t="n">
        <v>46332</v>
      </c>
      <c r="I10" s="87" t="n">
        <f aca="false">IF(OR(G10="",H10=""),"",ROUND((H10-G10+1)/7,0))</f>
        <v>2</v>
      </c>
      <c r="J10" s="87" t="str">
        <f aca="false">IF(OR(G10="",H10=""),"","Q"&amp;INT((MONTH(G10)+2)/3)&amp;" "&amp;YEAR(G10)&amp;IF("Q"&amp;INT((MONTH(G10)+2)/3)&amp;" "&amp;YEAR(G10)="Q"&amp;INT((MONTH(H10)+2)/3)&amp;" "&amp;YEAR(H10),""," to "&amp;"Q"&amp;INT((MONTH(H10)+2)/3)&amp;" "&amp;YEAR(H10)))</f>
        <v>Q4 2026</v>
      </c>
      <c r="K10" s="88" t="str">
        <f aca="false">IF(A10="","",IF(L10="Done","Done",IF(OR(L10="In progress",G10&lt;=Cover!$C$7+120),"Now",IF(G10&lt;=Cover!$C$7+365,"Next","Later"))))</f>
        <v>Now</v>
      </c>
      <c r="L10" s="20" t="s">
        <v>40</v>
      </c>
      <c r="M10" s="20" t="s">
        <v>222</v>
      </c>
      <c r="N10" s="20" t="s">
        <v>215</v>
      </c>
      <c r="O10" s="12" t="s">
        <v>160</v>
      </c>
      <c r="P10" s="12" t="s">
        <v>229</v>
      </c>
      <c r="Q10" s="12" t="s">
        <v>230</v>
      </c>
      <c r="R10" s="12" t="s">
        <v>218</v>
      </c>
      <c r="S10" s="89" t="n">
        <f aca="false">IF(K10="Now",G10+ROW()/100000,"")</f>
        <v>46321.0001</v>
      </c>
      <c r="T10" s="86" t="str">
        <f aca="false">IF(K10="Next",G10+ROW()/100000,"")</f>
        <v/>
      </c>
      <c r="U10" s="86" t="str">
        <f aca="false">IF(K10="Later",G10+ROW()/100000,"")</f>
        <v/>
      </c>
    </row>
    <row r="11" customFormat="false" ht="45" hidden="false" customHeight="true" outlineLevel="0" collapsed="false">
      <c r="A11" s="48" t="s">
        <v>111</v>
      </c>
      <c r="B11" s="20" t="s">
        <v>109</v>
      </c>
      <c r="C11" s="86" t="str">
        <f aca="false">IF(B11="","",IFERROR(INDEX('Themes &amp; Outcomes'!$B$5:$B$10,MATCH(B11,'Themes &amp; Outcomes'!$A$5:$A$10,0)),"Unknown theme"))</f>
        <v>Merchant adoption and rollout</v>
      </c>
      <c r="D11" s="11" t="s">
        <v>231</v>
      </c>
      <c r="E11" s="12" t="s">
        <v>232</v>
      </c>
      <c r="F11" s="12" t="s">
        <v>233</v>
      </c>
      <c r="G11" s="21" t="n">
        <v>46398</v>
      </c>
      <c r="H11" s="21" t="n">
        <v>46451</v>
      </c>
      <c r="I11" s="87" t="n">
        <f aca="false">IF(OR(G11="",H11=""),"",ROUND((H11-G11+1)/7,0))</f>
        <v>8</v>
      </c>
      <c r="J11" s="87" t="str">
        <f aca="false">IF(OR(G11="",H11=""),"","Q"&amp;INT((MONTH(G11)+2)/3)&amp;" "&amp;YEAR(G11)&amp;IF("Q"&amp;INT((MONTH(G11)+2)/3)&amp;" "&amp;YEAR(G11)="Q"&amp;INT((MONTH(H11)+2)/3)&amp;" "&amp;YEAR(H11),""," to "&amp;"Q"&amp;INT((MONTH(H11)+2)/3)&amp;" "&amp;YEAR(H11)))</f>
        <v>Q1 2027</v>
      </c>
      <c r="K11" s="88" t="str">
        <f aca="false">IF(A11="","",IF(L11="Done","Done",IF(OR(L11="In progress",G11&lt;=Cover!$C$7+120),"Now",IF(G11&lt;=Cover!$C$7+365,"Next","Later"))))</f>
        <v>Next</v>
      </c>
      <c r="L11" s="20" t="s">
        <v>32</v>
      </c>
      <c r="M11" s="20" t="s">
        <v>201</v>
      </c>
      <c r="N11" s="20" t="s">
        <v>208</v>
      </c>
      <c r="O11" s="12" t="s">
        <v>160</v>
      </c>
      <c r="P11" s="12" t="s">
        <v>234</v>
      </c>
      <c r="Q11" s="12" t="s">
        <v>235</v>
      </c>
      <c r="R11" s="12" t="s">
        <v>236</v>
      </c>
      <c r="S11" s="86" t="str">
        <f aca="false">IF(K11="Now",G11+ROW()/100000,"")</f>
        <v/>
      </c>
      <c r="T11" s="89" t="n">
        <f aca="false">IF(K11="Next",G11+ROW()/100000,"")</f>
        <v>46398.00011</v>
      </c>
      <c r="U11" s="86" t="str">
        <f aca="false">IF(K11="Later",G11+ROW()/100000,"")</f>
        <v/>
      </c>
    </row>
    <row r="12" customFormat="false" ht="31.5" hidden="false" customHeight="true" outlineLevel="0" collapsed="false">
      <c r="A12" s="48" t="s">
        <v>112</v>
      </c>
      <c r="B12" s="20" t="s">
        <v>109</v>
      </c>
      <c r="C12" s="86" t="str">
        <f aca="false">IF(B12="","",IFERROR(INDEX('Themes &amp; Outcomes'!$B$5:$B$10,MATCH(B12,'Themes &amp; Outcomes'!$A$5:$A$10,0)),"Unknown theme"))</f>
        <v>Merchant adoption and rollout</v>
      </c>
      <c r="D12" s="11" t="s">
        <v>237</v>
      </c>
      <c r="E12" s="12" t="s">
        <v>238</v>
      </c>
      <c r="F12" s="12" t="s">
        <v>239</v>
      </c>
      <c r="G12" s="21" t="n">
        <v>46426</v>
      </c>
      <c r="H12" s="21" t="n">
        <v>46472</v>
      </c>
      <c r="I12" s="87" t="n">
        <f aca="false">IF(OR(G12="",H12=""),"",ROUND((H12-G12+1)/7,0))</f>
        <v>7</v>
      </c>
      <c r="J12" s="87" t="str">
        <f aca="false">IF(OR(G12="",H12=""),"","Q"&amp;INT((MONTH(G12)+2)/3)&amp;" "&amp;YEAR(G12)&amp;IF("Q"&amp;INT((MONTH(G12)+2)/3)&amp;" "&amp;YEAR(G12)="Q"&amp;INT((MONTH(H12)+2)/3)&amp;" "&amp;YEAR(H12),""," to "&amp;"Q"&amp;INT((MONTH(H12)+2)/3)&amp;" "&amp;YEAR(H12)))</f>
        <v>Q1 2027</v>
      </c>
      <c r="K12" s="88" t="str">
        <f aca="false">IF(A12="","",IF(L12="Done","Done",IF(OR(L12="In progress",G12&lt;=Cover!$C$7+120),"Now",IF(G12&lt;=Cover!$C$7+365,"Next","Later"))))</f>
        <v>Next</v>
      </c>
      <c r="L12" s="20" t="s">
        <v>34</v>
      </c>
      <c r="M12" s="20" t="s">
        <v>201</v>
      </c>
      <c r="N12" s="20" t="s">
        <v>215</v>
      </c>
      <c r="O12" s="12" t="s">
        <v>160</v>
      </c>
      <c r="P12" s="12" t="s">
        <v>240</v>
      </c>
      <c r="Q12" s="12" t="s">
        <v>241</v>
      </c>
      <c r="R12" s="12" t="s">
        <v>211</v>
      </c>
      <c r="S12" s="86" t="str">
        <f aca="false">IF(K12="Now",G12+ROW()/100000,"")</f>
        <v/>
      </c>
      <c r="T12" s="89" t="n">
        <f aca="false">IF(K12="Next",G12+ROW()/100000,"")</f>
        <v>46426.00012</v>
      </c>
      <c r="U12" s="86" t="str">
        <f aca="false">IF(K12="Later",G12+ROW()/100000,"")</f>
        <v/>
      </c>
    </row>
    <row r="13" customFormat="false" ht="31.5" hidden="false" customHeight="true" outlineLevel="0" collapsed="false">
      <c r="A13" s="48" t="s">
        <v>138</v>
      </c>
      <c r="B13" s="20" t="s">
        <v>134</v>
      </c>
      <c r="C13" s="86" t="str">
        <f aca="false">IF(B13="","",IFERROR(INDEX('Themes &amp; Outcomes'!$B$5:$B$10,MATCH(B13,'Themes &amp; Outcomes'!$A$5:$A$10,0)),"Unknown theme"))</f>
        <v>Trust, compliance and data</v>
      </c>
      <c r="D13" s="11" t="s">
        <v>242</v>
      </c>
      <c r="E13" s="12" t="s">
        <v>243</v>
      </c>
      <c r="F13" s="12" t="s">
        <v>244</v>
      </c>
      <c r="G13" s="21" t="n">
        <v>46398</v>
      </c>
      <c r="H13" s="21" t="n">
        <v>46472</v>
      </c>
      <c r="I13" s="87" t="n">
        <f aca="false">IF(OR(G13="",H13=""),"",ROUND((H13-G13+1)/7,0))</f>
        <v>11</v>
      </c>
      <c r="J13" s="87" t="str">
        <f aca="false">IF(OR(G13="",H13=""),"","Q"&amp;INT((MONTH(G13)+2)/3)&amp;" "&amp;YEAR(G13)&amp;IF("Q"&amp;INT((MONTH(G13)+2)/3)&amp;" "&amp;YEAR(G13)="Q"&amp;INT((MONTH(H13)+2)/3)&amp;" "&amp;YEAR(H13),""," to "&amp;"Q"&amp;INT((MONTH(H13)+2)/3)&amp;" "&amp;YEAR(H13)))</f>
        <v>Q1 2027</v>
      </c>
      <c r="K13" s="88" t="str">
        <f aca="false">IF(A13="","",IF(L13="Done","Done",IF(OR(L13="In progress",G13&lt;=Cover!$C$7+120),"Now",IF(G13&lt;=Cover!$C$7+365,"Next","Later"))))</f>
        <v>Next</v>
      </c>
      <c r="L13" s="20" t="s">
        <v>34</v>
      </c>
      <c r="M13" s="20" t="s">
        <v>192</v>
      </c>
      <c r="N13" s="20" t="s">
        <v>215</v>
      </c>
      <c r="O13" s="12" t="s">
        <v>160</v>
      </c>
      <c r="P13" s="12" t="s">
        <v>245</v>
      </c>
      <c r="Q13" s="12" t="s">
        <v>246</v>
      </c>
      <c r="R13" s="12" t="s">
        <v>211</v>
      </c>
      <c r="S13" s="86" t="str">
        <f aca="false">IF(K13="Now",G13+ROW()/100000,"")</f>
        <v/>
      </c>
      <c r="T13" s="89" t="n">
        <f aca="false">IF(K13="Next",G13+ROW()/100000,"")</f>
        <v>46398.00013</v>
      </c>
      <c r="U13" s="86" t="str">
        <f aca="false">IF(K13="Later",G13+ROW()/100000,"")</f>
        <v/>
      </c>
    </row>
    <row r="14" customFormat="false" ht="31.5" hidden="false" customHeight="true" outlineLevel="0" collapsed="false">
      <c r="A14" s="48" t="s">
        <v>113</v>
      </c>
      <c r="B14" s="20" t="s">
        <v>109</v>
      </c>
      <c r="C14" s="86" t="str">
        <f aca="false">IF(B14="","",IFERROR(INDEX('Themes &amp; Outcomes'!$B$5:$B$10,MATCH(B14,'Themes &amp; Outcomes'!$A$5:$A$10,0)),"Unknown theme"))</f>
        <v>Merchant adoption and rollout</v>
      </c>
      <c r="D14" s="11" t="s">
        <v>247</v>
      </c>
      <c r="E14" s="12" t="s">
        <v>248</v>
      </c>
      <c r="F14" s="12" t="s">
        <v>249</v>
      </c>
      <c r="G14" s="21" t="n">
        <v>46461</v>
      </c>
      <c r="H14" s="21" t="n">
        <v>46535</v>
      </c>
      <c r="I14" s="87" t="n">
        <f aca="false">IF(OR(G14="",H14=""),"",ROUND((H14-G14+1)/7,0))</f>
        <v>11</v>
      </c>
      <c r="J14" s="87" t="str">
        <f aca="false">IF(OR(G14="",H14=""),"","Q"&amp;INT((MONTH(G14)+2)/3)&amp;" "&amp;YEAR(G14)&amp;IF("Q"&amp;INT((MONTH(G14)+2)/3)&amp;" "&amp;YEAR(G14)="Q"&amp;INT((MONTH(H14)+2)/3)&amp;" "&amp;YEAR(H14),""," to "&amp;"Q"&amp;INT((MONTH(H14)+2)/3)&amp;" "&amp;YEAR(H14)))</f>
        <v>Q1 2027 to Q2 2027</v>
      </c>
      <c r="K14" s="88" t="str">
        <f aca="false">IF(A14="","",IF(L14="Done","Done",IF(OR(L14="In progress",G14&lt;=Cover!$C$7+120),"Now",IF(G14&lt;=Cover!$C$7+365,"Next","Later"))))</f>
        <v>Next</v>
      </c>
      <c r="L14" s="20" t="s">
        <v>34</v>
      </c>
      <c r="M14" s="20" t="s">
        <v>201</v>
      </c>
      <c r="N14" s="20" t="s">
        <v>208</v>
      </c>
      <c r="O14" s="12" t="s">
        <v>163</v>
      </c>
      <c r="P14" s="12" t="s">
        <v>250</v>
      </c>
      <c r="Q14" s="12" t="s">
        <v>251</v>
      </c>
      <c r="R14" s="12" t="s">
        <v>236</v>
      </c>
      <c r="S14" s="86" t="str">
        <f aca="false">IF(K14="Now",G14+ROW()/100000,"")</f>
        <v/>
      </c>
      <c r="T14" s="89" t="n">
        <f aca="false">IF(K14="Next",G14+ROW()/100000,"")</f>
        <v>46461.00014</v>
      </c>
      <c r="U14" s="86" t="str">
        <f aca="false">IF(K14="Later",G14+ROW()/100000,"")</f>
        <v/>
      </c>
    </row>
    <row r="15" customFormat="false" ht="31.5" hidden="false" customHeight="true" outlineLevel="0" collapsed="false">
      <c r="A15" s="48" t="s">
        <v>119</v>
      </c>
      <c r="B15" s="20" t="s">
        <v>117</v>
      </c>
      <c r="C15" s="86" t="str">
        <f aca="false">IF(B15="","",IFERROR(INDEX('Themes &amp; Outcomes'!$B$5:$B$10,MATCH(B15,'Themes &amp; Outcomes'!$A$5:$A$10,0)),"Unknown theme"))</f>
        <v>Help merchants win more disputes</v>
      </c>
      <c r="D15" s="11" t="s">
        <v>252</v>
      </c>
      <c r="E15" s="12" t="s">
        <v>253</v>
      </c>
      <c r="F15" s="12" t="s">
        <v>254</v>
      </c>
      <c r="G15" s="21" t="n">
        <v>46482</v>
      </c>
      <c r="H15" s="21" t="n">
        <v>46535</v>
      </c>
      <c r="I15" s="87" t="n">
        <f aca="false">IF(OR(G15="",H15=""),"",ROUND((H15-G15+1)/7,0))</f>
        <v>8</v>
      </c>
      <c r="J15" s="87" t="str">
        <f aca="false">IF(OR(G15="",H15=""),"","Q"&amp;INT((MONTH(G15)+2)/3)&amp;" "&amp;YEAR(G15)&amp;IF("Q"&amp;INT((MONTH(G15)+2)/3)&amp;" "&amp;YEAR(G15)="Q"&amp;INT((MONTH(H15)+2)/3)&amp;" "&amp;YEAR(H15),""," to "&amp;"Q"&amp;INT((MONTH(H15)+2)/3)&amp;" "&amp;YEAR(H15)))</f>
        <v>Q2 2027</v>
      </c>
      <c r="K15" s="88" t="str">
        <f aca="false">IF(A15="","",IF(L15="Done","Done",IF(OR(L15="In progress",G15&lt;=Cover!$C$7+120),"Now",IF(G15&lt;=Cover!$C$7+365,"Next","Later"))))</f>
        <v>Next</v>
      </c>
      <c r="L15" s="20" t="s">
        <v>34</v>
      </c>
      <c r="M15" s="20" t="s">
        <v>201</v>
      </c>
      <c r="N15" s="20" t="s">
        <v>215</v>
      </c>
      <c r="O15" s="12" t="s">
        <v>163</v>
      </c>
      <c r="P15" s="12" t="s">
        <v>255</v>
      </c>
      <c r="Q15" s="12" t="s">
        <v>256</v>
      </c>
      <c r="R15" s="12" t="s">
        <v>211</v>
      </c>
      <c r="S15" s="86" t="str">
        <f aca="false">IF(K15="Now",G15+ROW()/100000,"")</f>
        <v/>
      </c>
      <c r="T15" s="89" t="n">
        <f aca="false">IF(K15="Next",G15+ROW()/100000,"")</f>
        <v>46482.00015</v>
      </c>
      <c r="U15" s="86" t="str">
        <f aca="false">IF(K15="Later",G15+ROW()/100000,"")</f>
        <v/>
      </c>
    </row>
    <row r="16" customFormat="false" ht="31.5" hidden="false" customHeight="true" outlineLevel="0" collapsed="false">
      <c r="A16" s="48" t="s">
        <v>120</v>
      </c>
      <c r="B16" s="20" t="s">
        <v>117</v>
      </c>
      <c r="C16" s="86" t="str">
        <f aca="false">IF(B16="","",IFERROR(INDEX('Themes &amp; Outcomes'!$B$5:$B$10,MATCH(B16,'Themes &amp; Outcomes'!$A$5:$A$10,0)),"Unknown theme"))</f>
        <v>Help merchants win more disputes</v>
      </c>
      <c r="D16" s="11" t="s">
        <v>257</v>
      </c>
      <c r="E16" s="12" t="s">
        <v>258</v>
      </c>
      <c r="F16" s="12" t="s">
        <v>214</v>
      </c>
      <c r="G16" s="21" t="n">
        <v>46482</v>
      </c>
      <c r="H16" s="21" t="n">
        <v>46563</v>
      </c>
      <c r="I16" s="87" t="n">
        <f aca="false">IF(OR(G16="",H16=""),"",ROUND((H16-G16+1)/7,0))</f>
        <v>12</v>
      </c>
      <c r="J16" s="87" t="str">
        <f aca="false">IF(OR(G16="",H16=""),"","Q"&amp;INT((MONTH(G16)+2)/3)&amp;" "&amp;YEAR(G16)&amp;IF("Q"&amp;INT((MONTH(G16)+2)/3)&amp;" "&amp;YEAR(G16)="Q"&amp;INT((MONTH(H16)+2)/3)&amp;" "&amp;YEAR(H16),""," to "&amp;"Q"&amp;INT((MONTH(H16)+2)/3)&amp;" "&amp;YEAR(H16)))</f>
        <v>Q2 2027</v>
      </c>
      <c r="K16" s="88" t="str">
        <f aca="false">IF(A16="","",IF(L16="Done","Done",IF(OR(L16="In progress",G16&lt;=Cover!$C$7+120),"Now",IF(G16&lt;=Cover!$C$7+365,"Next","Later"))))</f>
        <v>Next</v>
      </c>
      <c r="L16" s="20" t="s">
        <v>36</v>
      </c>
      <c r="M16" s="20" t="s">
        <v>201</v>
      </c>
      <c r="N16" s="20" t="s">
        <v>208</v>
      </c>
      <c r="O16" s="12" t="s">
        <v>160</v>
      </c>
      <c r="P16" s="12" t="s">
        <v>259</v>
      </c>
      <c r="Q16" s="12" t="s">
        <v>260</v>
      </c>
      <c r="R16" s="12" t="s">
        <v>211</v>
      </c>
      <c r="S16" s="86" t="str">
        <f aca="false">IF(K16="Now",G16+ROW()/100000,"")</f>
        <v/>
      </c>
      <c r="T16" s="89" t="n">
        <f aca="false">IF(K16="Next",G16+ROW()/100000,"")</f>
        <v>46482.00016</v>
      </c>
      <c r="U16" s="86" t="str">
        <f aca="false">IF(K16="Later",G16+ROW()/100000,"")</f>
        <v/>
      </c>
    </row>
    <row r="17" customFormat="false" ht="45" hidden="false" customHeight="true" outlineLevel="0" collapsed="false">
      <c r="A17" s="48" t="s">
        <v>130</v>
      </c>
      <c r="B17" s="20" t="s">
        <v>127</v>
      </c>
      <c r="C17" s="86" t="str">
        <f aca="false">IF(B17="","",IFERROR(INDEX('Themes &amp; Outcomes'!$B$5:$B$10,MATCH(B17,'Themes &amp; Outcomes'!$A$5:$A$10,0)),"Unknown theme"))</f>
        <v>Ops efficiency</v>
      </c>
      <c r="D17" s="11" t="s">
        <v>261</v>
      </c>
      <c r="E17" s="12" t="s">
        <v>262</v>
      </c>
      <c r="F17" s="12" t="s">
        <v>228</v>
      </c>
      <c r="G17" s="21" t="n">
        <v>46482</v>
      </c>
      <c r="H17" s="21" t="n">
        <v>46563</v>
      </c>
      <c r="I17" s="87" t="n">
        <f aca="false">IF(OR(G17="",H17=""),"",ROUND((H17-G17+1)/7,0))</f>
        <v>12</v>
      </c>
      <c r="J17" s="87" t="str">
        <f aca="false">IF(OR(G17="",H17=""),"","Q"&amp;INT((MONTH(G17)+2)/3)&amp;" "&amp;YEAR(G17)&amp;IF("Q"&amp;INT((MONTH(G17)+2)/3)&amp;" "&amp;YEAR(G17)="Q"&amp;INT((MONTH(H17)+2)/3)&amp;" "&amp;YEAR(H17),""," to "&amp;"Q"&amp;INT((MONTH(H17)+2)/3)&amp;" "&amp;YEAR(H17)))</f>
        <v>Q2 2027</v>
      </c>
      <c r="K17" s="88" t="str">
        <f aca="false">IF(A17="","",IF(L17="Done","Done",IF(OR(L17="In progress",G17&lt;=Cover!$C$7+120),"Now",IF(G17&lt;=Cover!$C$7+365,"Next","Later"))))</f>
        <v>Next</v>
      </c>
      <c r="L17" s="20" t="s">
        <v>34</v>
      </c>
      <c r="M17" s="20" t="s">
        <v>201</v>
      </c>
      <c r="N17" s="20" t="s">
        <v>208</v>
      </c>
      <c r="O17" s="12" t="s">
        <v>168</v>
      </c>
      <c r="P17" s="12" t="s">
        <v>263</v>
      </c>
      <c r="Q17" s="12" t="s">
        <v>264</v>
      </c>
      <c r="R17" s="12" t="s">
        <v>218</v>
      </c>
      <c r="S17" s="86" t="str">
        <f aca="false">IF(K17="Now",G17+ROW()/100000,"")</f>
        <v/>
      </c>
      <c r="T17" s="89" t="n">
        <f aca="false">IF(K17="Next",G17+ROW()/100000,"")</f>
        <v>46482.00017</v>
      </c>
      <c r="U17" s="86" t="str">
        <f aca="false">IF(K17="Later",G17+ROW()/100000,"")</f>
        <v/>
      </c>
    </row>
    <row r="18" customFormat="false" ht="31.5" hidden="false" customHeight="true" outlineLevel="0" collapsed="false">
      <c r="A18" s="48" t="s">
        <v>121</v>
      </c>
      <c r="B18" s="20" t="s">
        <v>117</v>
      </c>
      <c r="C18" s="86" t="str">
        <f aca="false">IF(B18="","",IFERROR(INDEX('Themes &amp; Outcomes'!$B$5:$B$10,MATCH(B18,'Themes &amp; Outcomes'!$A$5:$A$10,0)),"Unknown theme"))</f>
        <v>Help merchants win more disputes</v>
      </c>
      <c r="D18" s="11" t="s">
        <v>265</v>
      </c>
      <c r="E18" s="12" t="s">
        <v>266</v>
      </c>
      <c r="F18" s="12" t="s">
        <v>267</v>
      </c>
      <c r="G18" s="21" t="n">
        <v>46482</v>
      </c>
      <c r="H18" s="21" t="n">
        <v>46563</v>
      </c>
      <c r="I18" s="87" t="n">
        <f aca="false">IF(OR(G18="",H18=""),"",ROUND((H18-G18+1)/7,0))</f>
        <v>12</v>
      </c>
      <c r="J18" s="87" t="str">
        <f aca="false">IF(OR(G18="",H18=""),"","Q"&amp;INT((MONTH(G18)+2)/3)&amp;" "&amp;YEAR(G18)&amp;IF("Q"&amp;INT((MONTH(G18)+2)/3)&amp;" "&amp;YEAR(G18)="Q"&amp;INT((MONTH(H18)+2)/3)&amp;" "&amp;YEAR(H18),""," to "&amp;"Q"&amp;INT((MONTH(H18)+2)/3)&amp;" "&amp;YEAR(H18)))</f>
        <v>Q2 2027</v>
      </c>
      <c r="K18" s="88" t="str">
        <f aca="false">IF(A18="","",IF(L18="Done","Done",IF(OR(L18="In progress",G18&lt;=Cover!$C$7+120),"Now",IF(G18&lt;=Cover!$C$7+365,"Next","Later"))))</f>
        <v>Next</v>
      </c>
      <c r="L18" s="20" t="s">
        <v>38</v>
      </c>
      <c r="M18" s="20" t="s">
        <v>222</v>
      </c>
      <c r="N18" s="20" t="s">
        <v>208</v>
      </c>
      <c r="O18" s="12" t="s">
        <v>160</v>
      </c>
      <c r="P18" s="12" t="s">
        <v>268</v>
      </c>
      <c r="Q18" s="12" t="s">
        <v>269</v>
      </c>
      <c r="R18" s="12" t="s">
        <v>218</v>
      </c>
      <c r="S18" s="86" t="str">
        <f aca="false">IF(K18="Now",G18+ROW()/100000,"")</f>
        <v/>
      </c>
      <c r="T18" s="89" t="n">
        <f aca="false">IF(K18="Next",G18+ROW()/100000,"")</f>
        <v>46482.00018</v>
      </c>
      <c r="U18" s="86" t="str">
        <f aca="false">IF(K18="Later",G18+ROW()/100000,"")</f>
        <v/>
      </c>
    </row>
    <row r="19" customFormat="false" ht="31.5" hidden="false" customHeight="true" outlineLevel="0" collapsed="false">
      <c r="A19" s="48" t="s">
        <v>114</v>
      </c>
      <c r="B19" s="20" t="s">
        <v>109</v>
      </c>
      <c r="C19" s="86" t="str">
        <f aca="false">IF(B19="","",IFERROR(INDEX('Themes &amp; Outcomes'!$B$5:$B$10,MATCH(B19,'Themes &amp; Outcomes'!$A$5:$A$10,0)),"Unknown theme"))</f>
        <v>Merchant adoption and rollout</v>
      </c>
      <c r="D19" s="11" t="s">
        <v>270</v>
      </c>
      <c r="E19" s="12" t="s">
        <v>271</v>
      </c>
      <c r="F19" s="12" t="s">
        <v>272</v>
      </c>
      <c r="G19" s="21" t="n">
        <v>46545</v>
      </c>
      <c r="H19" s="21" t="n">
        <v>46654</v>
      </c>
      <c r="I19" s="87" t="n">
        <f aca="false">IF(OR(G19="",H19=""),"",ROUND((H19-G19+1)/7,0))</f>
        <v>16</v>
      </c>
      <c r="J19" s="87" t="str">
        <f aca="false">IF(OR(G19="",H19=""),"","Q"&amp;INT((MONTH(G19)+2)/3)&amp;" "&amp;YEAR(G19)&amp;IF("Q"&amp;INT((MONTH(G19)+2)/3)&amp;" "&amp;YEAR(G19)="Q"&amp;INT((MONTH(H19)+2)/3)&amp;" "&amp;YEAR(H19),""," to "&amp;"Q"&amp;INT((MONTH(H19)+2)/3)&amp;" "&amp;YEAR(H19)))</f>
        <v>Q2 2027 to Q3 2027</v>
      </c>
      <c r="K19" s="88" t="str">
        <f aca="false">IF(A19="","",IF(L19="Done","Done",IF(OR(L19="In progress",G19&lt;=Cover!$C$7+120),"Now",IF(G19&lt;=Cover!$C$7+365,"Next","Later"))))</f>
        <v>Next</v>
      </c>
      <c r="L19" s="20" t="s">
        <v>34</v>
      </c>
      <c r="M19" s="20" t="s">
        <v>201</v>
      </c>
      <c r="N19" s="20" t="s">
        <v>208</v>
      </c>
      <c r="O19" s="12" t="s">
        <v>163</v>
      </c>
      <c r="P19" s="12" t="s">
        <v>273</v>
      </c>
      <c r="Q19" s="12" t="s">
        <v>274</v>
      </c>
      <c r="R19" s="12" t="s">
        <v>236</v>
      </c>
      <c r="S19" s="86" t="str">
        <f aca="false">IF(K19="Now",G19+ROW()/100000,"")</f>
        <v/>
      </c>
      <c r="T19" s="89" t="n">
        <f aca="false">IF(K19="Next",G19+ROW()/100000,"")</f>
        <v>46545.00019</v>
      </c>
      <c r="U19" s="86" t="str">
        <f aca="false">IF(K19="Later",G19+ROW()/100000,"")</f>
        <v/>
      </c>
    </row>
    <row r="20" customFormat="false" ht="31.5" hidden="false" customHeight="true" outlineLevel="0" collapsed="false">
      <c r="A20" s="48" t="s">
        <v>115</v>
      </c>
      <c r="B20" s="20" t="s">
        <v>109</v>
      </c>
      <c r="C20" s="86" t="str">
        <f aca="false">IF(B20="","",IFERROR(INDEX('Themes &amp; Outcomes'!$B$5:$B$10,MATCH(B20,'Themes &amp; Outcomes'!$A$5:$A$10,0)),"Unknown theme"))</f>
        <v>Merchant adoption and rollout</v>
      </c>
      <c r="D20" s="11" t="s">
        <v>275</v>
      </c>
      <c r="E20" s="12" t="s">
        <v>276</v>
      </c>
      <c r="F20" s="12" t="s">
        <v>277</v>
      </c>
      <c r="G20" s="21" t="n">
        <v>46573</v>
      </c>
      <c r="H20" s="21" t="n">
        <v>46654</v>
      </c>
      <c r="I20" s="87" t="n">
        <f aca="false">IF(OR(G20="",H20=""),"",ROUND((H20-G20+1)/7,0))</f>
        <v>12</v>
      </c>
      <c r="J20" s="87" t="str">
        <f aca="false">IF(OR(G20="",H20=""),"","Q"&amp;INT((MONTH(G20)+2)/3)&amp;" "&amp;YEAR(G20)&amp;IF("Q"&amp;INT((MONTH(G20)+2)/3)&amp;" "&amp;YEAR(G20)="Q"&amp;INT((MONTH(H20)+2)/3)&amp;" "&amp;YEAR(H20),""," to "&amp;"Q"&amp;INT((MONTH(H20)+2)/3)&amp;" "&amp;YEAR(H20)))</f>
        <v>Q3 2027</v>
      </c>
      <c r="K20" s="88" t="str">
        <f aca="false">IF(A20="","",IF(L20="Done","Done",IF(OR(L20="In progress",G20&lt;=Cover!$C$7+120),"Now",IF(G20&lt;=Cover!$C$7+365,"Next","Later"))))</f>
        <v>Next</v>
      </c>
      <c r="L20" s="20" t="s">
        <v>34</v>
      </c>
      <c r="M20" s="20" t="s">
        <v>222</v>
      </c>
      <c r="N20" s="20" t="s">
        <v>202</v>
      </c>
      <c r="O20" s="12" t="s">
        <v>163</v>
      </c>
      <c r="P20" s="12" t="s">
        <v>278</v>
      </c>
      <c r="Q20" s="12" t="s">
        <v>279</v>
      </c>
      <c r="R20" s="12" t="s">
        <v>218</v>
      </c>
      <c r="S20" s="86" t="str">
        <f aca="false">IF(K20="Now",G20+ROW()/100000,"")</f>
        <v/>
      </c>
      <c r="T20" s="89" t="n">
        <f aca="false">IF(K20="Next",G20+ROW()/100000,"")</f>
        <v>46573.0002</v>
      </c>
      <c r="U20" s="86" t="str">
        <f aca="false">IF(K20="Later",G20+ROW()/100000,"")</f>
        <v/>
      </c>
    </row>
    <row r="21" customFormat="false" ht="31.5" hidden="false" customHeight="true" outlineLevel="0" collapsed="false">
      <c r="A21" s="48" t="s">
        <v>131</v>
      </c>
      <c r="B21" s="20" t="s">
        <v>127</v>
      </c>
      <c r="C21" s="86" t="str">
        <f aca="false">IF(B21="","",IFERROR(INDEX('Themes &amp; Outcomes'!$B$5:$B$10,MATCH(B21,'Themes &amp; Outcomes'!$A$5:$A$10,0)),"Unknown theme"))</f>
        <v>Ops efficiency</v>
      </c>
      <c r="D21" s="11" t="s">
        <v>280</v>
      </c>
      <c r="E21" s="12" t="s">
        <v>281</v>
      </c>
      <c r="F21" s="12" t="s">
        <v>228</v>
      </c>
      <c r="G21" s="21" t="n">
        <v>46573</v>
      </c>
      <c r="H21" s="21" t="n">
        <v>46738</v>
      </c>
      <c r="I21" s="87" t="n">
        <f aca="false">IF(OR(G21="",H21=""),"",ROUND((H21-G21+1)/7,0))</f>
        <v>24</v>
      </c>
      <c r="J21" s="87" t="str">
        <f aca="false">IF(OR(G21="",H21=""),"","Q"&amp;INT((MONTH(G21)+2)/3)&amp;" "&amp;YEAR(G21)&amp;IF("Q"&amp;INT((MONTH(G21)+2)/3)&amp;" "&amp;YEAR(G21)="Q"&amp;INT((MONTH(H21)+2)/3)&amp;" "&amp;YEAR(H21),""," to "&amp;"Q"&amp;INT((MONTH(H21)+2)/3)&amp;" "&amp;YEAR(H21)))</f>
        <v>Q3 2027 to Q4 2027</v>
      </c>
      <c r="K21" s="88" t="str">
        <f aca="false">IF(A21="","",IF(L21="Done","Done",IF(OR(L21="In progress",G21&lt;=Cover!$C$7+120),"Now",IF(G21&lt;=Cover!$C$7+365,"Next","Later"))))</f>
        <v>Next</v>
      </c>
      <c r="L21" s="20" t="s">
        <v>36</v>
      </c>
      <c r="M21" s="20" t="s">
        <v>222</v>
      </c>
      <c r="N21" s="20" t="s">
        <v>193</v>
      </c>
      <c r="O21" s="12" t="s">
        <v>282</v>
      </c>
      <c r="P21" s="12" t="s">
        <v>283</v>
      </c>
      <c r="Q21" s="12" t="s">
        <v>284</v>
      </c>
      <c r="R21" s="12" t="s">
        <v>218</v>
      </c>
      <c r="S21" s="86" t="str">
        <f aca="false">IF(K21="Now",G21+ROW()/100000,"")</f>
        <v/>
      </c>
      <c r="T21" s="89" t="n">
        <f aca="false">IF(K21="Next",G21+ROW()/100000,"")</f>
        <v>46573.00021</v>
      </c>
      <c r="U21" s="86" t="str">
        <f aca="false">IF(K21="Later",G21+ROW()/100000,"")</f>
        <v/>
      </c>
    </row>
    <row r="22" customFormat="false" ht="31.5" hidden="false" customHeight="true" outlineLevel="0" collapsed="false">
      <c r="A22" s="48" t="s">
        <v>116</v>
      </c>
      <c r="B22" s="20" t="s">
        <v>109</v>
      </c>
      <c r="C22" s="86" t="str">
        <f aca="false">IF(B22="","",IFERROR(INDEX('Themes &amp; Outcomes'!$B$5:$B$10,MATCH(B22,'Themes &amp; Outcomes'!$A$5:$A$10,0)),"Unknown theme"))</f>
        <v>Merchant adoption and rollout</v>
      </c>
      <c r="D22" s="11" t="s">
        <v>285</v>
      </c>
      <c r="E22" s="12" t="s">
        <v>286</v>
      </c>
      <c r="F22" s="12" t="s">
        <v>287</v>
      </c>
      <c r="G22" s="21" t="n">
        <v>46664</v>
      </c>
      <c r="H22" s="21" t="n">
        <v>46738</v>
      </c>
      <c r="I22" s="87" t="n">
        <f aca="false">IF(OR(G22="",H22=""),"",ROUND((H22-G22+1)/7,0))</f>
        <v>11</v>
      </c>
      <c r="J22" s="87" t="str">
        <f aca="false">IF(OR(G22="",H22=""),"","Q"&amp;INT((MONTH(G22)+2)/3)&amp;" "&amp;YEAR(G22)&amp;IF("Q"&amp;INT((MONTH(G22)+2)/3)&amp;" "&amp;YEAR(G22)="Q"&amp;INT((MONTH(H22)+2)/3)&amp;" "&amp;YEAR(H22),""," to "&amp;"Q"&amp;INT((MONTH(H22)+2)/3)&amp;" "&amp;YEAR(H22)))</f>
        <v>Q4 2027</v>
      </c>
      <c r="K22" s="88" t="str">
        <f aca="false">IF(A22="","",IF(L22="Done","Done",IF(OR(L22="In progress",G22&lt;=Cover!$C$7+120),"Now",IF(G22&lt;=Cover!$C$7+365,"Next","Later"))))</f>
        <v>Later</v>
      </c>
      <c r="L22" s="20" t="s">
        <v>34</v>
      </c>
      <c r="M22" s="20" t="s">
        <v>201</v>
      </c>
      <c r="N22" s="20" t="s">
        <v>208</v>
      </c>
      <c r="O22" s="12" t="s">
        <v>160</v>
      </c>
      <c r="P22" s="12" t="s">
        <v>288</v>
      </c>
      <c r="Q22" s="12" t="s">
        <v>289</v>
      </c>
      <c r="R22" s="12" t="s">
        <v>236</v>
      </c>
      <c r="S22" s="86" t="str">
        <f aca="false">IF(K22="Now",G22+ROW()/100000,"")</f>
        <v/>
      </c>
      <c r="T22" s="86" t="str">
        <f aca="false">IF(K22="Next",G22+ROW()/100000,"")</f>
        <v/>
      </c>
      <c r="U22" s="89" t="n">
        <f aca="false">IF(K22="Later",G22+ROW()/100000,"")</f>
        <v>46664.00022</v>
      </c>
    </row>
    <row r="23" customFormat="false" ht="31.5" hidden="false" customHeight="true" outlineLevel="0" collapsed="false">
      <c r="A23" s="48" t="s">
        <v>132</v>
      </c>
      <c r="B23" s="20" t="s">
        <v>127</v>
      </c>
      <c r="C23" s="86" t="str">
        <f aca="false">IF(B23="","",IFERROR(INDEX('Themes &amp; Outcomes'!$B$5:$B$10,MATCH(B23,'Themes &amp; Outcomes'!$A$5:$A$10,0)),"Unknown theme"))</f>
        <v>Ops efficiency</v>
      </c>
      <c r="D23" s="11" t="s">
        <v>290</v>
      </c>
      <c r="E23" s="12" t="s">
        <v>291</v>
      </c>
      <c r="F23" s="12" t="s">
        <v>292</v>
      </c>
      <c r="G23" s="21" t="n">
        <v>46461</v>
      </c>
      <c r="H23" s="21" t="n">
        <v>46738</v>
      </c>
      <c r="I23" s="87" t="n">
        <f aca="false">IF(OR(G23="",H23=""),"",ROUND((H23-G23+1)/7,0))</f>
        <v>40</v>
      </c>
      <c r="J23" s="87" t="str">
        <f aca="false">IF(OR(G23="",H23=""),"","Q"&amp;INT((MONTH(G23)+2)/3)&amp;" "&amp;YEAR(G23)&amp;IF("Q"&amp;INT((MONTH(G23)+2)/3)&amp;" "&amp;YEAR(G23)="Q"&amp;INT((MONTH(H23)+2)/3)&amp;" "&amp;YEAR(H23),""," to "&amp;"Q"&amp;INT((MONTH(H23)+2)/3)&amp;" "&amp;YEAR(H23)))</f>
        <v>Q1 2027 to Q4 2027</v>
      </c>
      <c r="K23" s="88" t="str">
        <f aca="false">IF(A23="","",IF(L23="Done","Done",IF(OR(L23="In progress",G23&lt;=Cover!$C$7+120),"Now",IF(G23&lt;=Cover!$C$7+365,"Next","Later"))))</f>
        <v>Next</v>
      </c>
      <c r="L23" s="20" t="s">
        <v>34</v>
      </c>
      <c r="M23" s="20" t="s">
        <v>201</v>
      </c>
      <c r="N23" s="20" t="s">
        <v>208</v>
      </c>
      <c r="O23" s="12" t="s">
        <v>168</v>
      </c>
      <c r="P23" s="12" t="s">
        <v>293</v>
      </c>
      <c r="Q23" s="12" t="s">
        <v>294</v>
      </c>
      <c r="R23" s="12" t="s">
        <v>211</v>
      </c>
      <c r="S23" s="86" t="str">
        <f aca="false">IF(K23="Now",G23+ROW()/100000,"")</f>
        <v/>
      </c>
      <c r="T23" s="89" t="n">
        <f aca="false">IF(K23="Next",G23+ROW()/100000,"")</f>
        <v>46461.00023</v>
      </c>
      <c r="U23" s="86" t="str">
        <f aca="false">IF(K23="Later",G23+ROW()/100000,"")</f>
        <v/>
      </c>
    </row>
    <row r="24" customFormat="false" ht="31.5" hidden="false" customHeight="true" outlineLevel="0" collapsed="false">
      <c r="A24" s="48" t="s">
        <v>133</v>
      </c>
      <c r="B24" s="20" t="s">
        <v>127</v>
      </c>
      <c r="C24" s="86" t="str">
        <f aca="false">IF(B24="","",IFERROR(INDEX('Themes &amp; Outcomes'!$B$5:$B$10,MATCH(B24,'Themes &amp; Outcomes'!$A$5:$A$10,0)),"Unknown theme"))</f>
        <v>Ops efficiency</v>
      </c>
      <c r="D24" s="11" t="s">
        <v>295</v>
      </c>
      <c r="E24" s="12" t="s">
        <v>296</v>
      </c>
      <c r="F24" s="12" t="s">
        <v>228</v>
      </c>
      <c r="G24" s="21" t="n">
        <v>46664</v>
      </c>
      <c r="H24" s="21" t="n">
        <v>46738</v>
      </c>
      <c r="I24" s="87" t="n">
        <f aca="false">IF(OR(G24="",H24=""),"",ROUND((H24-G24+1)/7,0))</f>
        <v>11</v>
      </c>
      <c r="J24" s="87" t="str">
        <f aca="false">IF(OR(G24="",H24=""),"","Q"&amp;INT((MONTH(G24)+2)/3)&amp;" "&amp;YEAR(G24)&amp;IF("Q"&amp;INT((MONTH(G24)+2)/3)&amp;" "&amp;YEAR(G24)="Q"&amp;INT((MONTH(H24)+2)/3)&amp;" "&amp;YEAR(H24),""," to "&amp;"Q"&amp;INT((MONTH(H24)+2)/3)&amp;" "&amp;YEAR(H24)))</f>
        <v>Q4 2027</v>
      </c>
      <c r="K24" s="88" t="str">
        <f aca="false">IF(A24="","",IF(L24="Done","Done",IF(OR(L24="In progress",G24&lt;=Cover!$C$7+120),"Now",IF(G24&lt;=Cover!$C$7+365,"Next","Later"))))</f>
        <v>Later</v>
      </c>
      <c r="L24" s="20" t="s">
        <v>38</v>
      </c>
      <c r="M24" s="20" t="s">
        <v>222</v>
      </c>
      <c r="N24" s="20" t="s">
        <v>208</v>
      </c>
      <c r="O24" s="12" t="s">
        <v>160</v>
      </c>
      <c r="P24" s="12" t="s">
        <v>297</v>
      </c>
      <c r="Q24" s="12" t="s">
        <v>298</v>
      </c>
      <c r="R24" s="12" t="s">
        <v>211</v>
      </c>
      <c r="S24" s="86" t="str">
        <f aca="false">IF(K24="Now",G24+ROW()/100000,"")</f>
        <v/>
      </c>
      <c r="T24" s="86" t="str">
        <f aca="false">IF(K24="Next",G24+ROW()/100000,"")</f>
        <v/>
      </c>
      <c r="U24" s="89" t="n">
        <f aca="false">IF(K24="Later",G24+ROW()/100000,"")</f>
        <v>46664.00024</v>
      </c>
    </row>
    <row r="25" customFormat="false" ht="31.5" hidden="false" customHeight="true" outlineLevel="0" collapsed="false">
      <c r="A25" s="48" t="s">
        <v>142</v>
      </c>
      <c r="B25" s="20" t="s">
        <v>140</v>
      </c>
      <c r="C25" s="86" t="str">
        <f aca="false">IF(B25="","",IFERROR(INDEX('Themes &amp; Outcomes'!$B$5:$B$10,MATCH(B25,'Themes &amp; Outcomes'!$A$5:$A$10,0)),"Unknown theme"))</f>
        <v>Expansion</v>
      </c>
      <c r="D25" s="11" t="s">
        <v>299</v>
      </c>
      <c r="E25" s="12" t="s">
        <v>300</v>
      </c>
      <c r="F25" s="12" t="s">
        <v>277</v>
      </c>
      <c r="G25" s="21" t="n">
        <v>46755</v>
      </c>
      <c r="H25" s="21" t="n">
        <v>46934</v>
      </c>
      <c r="I25" s="87" t="n">
        <f aca="false">IF(OR(G25="",H25=""),"",ROUND((H25-G25+1)/7,0))</f>
        <v>26</v>
      </c>
      <c r="J25" s="87" t="str">
        <f aca="false">IF(OR(G25="",H25=""),"","Q"&amp;INT((MONTH(G25)+2)/3)&amp;" "&amp;YEAR(G25)&amp;IF("Q"&amp;INT((MONTH(G25)+2)/3)&amp;" "&amp;YEAR(G25)="Q"&amp;INT((MONTH(H25)+2)/3)&amp;" "&amp;YEAR(H25),""," to "&amp;"Q"&amp;INT((MONTH(H25)+2)/3)&amp;" "&amp;YEAR(H25)))</f>
        <v>Q1 2028 to Q2 2028</v>
      </c>
      <c r="K25" s="88" t="str">
        <f aca="false">IF(A25="","",IF(L25="Done","Done",IF(OR(L25="In progress",G25&lt;=Cover!$C$7+120),"Now",IF(G25&lt;=Cover!$C$7+365,"Next","Later"))))</f>
        <v>Later</v>
      </c>
      <c r="L25" s="20" t="s">
        <v>38</v>
      </c>
      <c r="M25" s="20" t="s">
        <v>222</v>
      </c>
      <c r="N25" s="20" t="s">
        <v>193</v>
      </c>
      <c r="O25" s="12" t="s">
        <v>160</v>
      </c>
      <c r="P25" s="12" t="s">
        <v>301</v>
      </c>
      <c r="Q25" s="12" t="s">
        <v>302</v>
      </c>
      <c r="R25" s="12" t="s">
        <v>236</v>
      </c>
      <c r="S25" s="86" t="str">
        <f aca="false">IF(K25="Now",G25+ROW()/100000,"")</f>
        <v/>
      </c>
      <c r="T25" s="86" t="str">
        <f aca="false">IF(K25="Next",G25+ROW()/100000,"")</f>
        <v/>
      </c>
      <c r="U25" s="89" t="n">
        <f aca="false">IF(K25="Later",G25+ROW()/100000,"")</f>
        <v>46755.00025</v>
      </c>
    </row>
    <row r="26" customFormat="false" ht="31.5" hidden="false" customHeight="true" outlineLevel="0" collapsed="false">
      <c r="A26" s="48" t="s">
        <v>122</v>
      </c>
      <c r="B26" s="20" t="s">
        <v>117</v>
      </c>
      <c r="C26" s="86" t="str">
        <f aca="false">IF(B26="","",IFERROR(INDEX('Themes &amp; Outcomes'!$B$5:$B$10,MATCH(B26,'Themes &amp; Outcomes'!$A$5:$A$10,0)),"Unknown theme"))</f>
        <v>Help merchants win more disputes</v>
      </c>
      <c r="D26" s="11" t="s">
        <v>303</v>
      </c>
      <c r="E26" s="12" t="s">
        <v>304</v>
      </c>
      <c r="F26" s="12" t="s">
        <v>214</v>
      </c>
      <c r="G26" s="21" t="n">
        <v>46846</v>
      </c>
      <c r="H26" s="21" t="n">
        <v>46934</v>
      </c>
      <c r="I26" s="87" t="n">
        <f aca="false">IF(OR(G26="",H26=""),"",ROUND((H26-G26+1)/7,0))</f>
        <v>13</v>
      </c>
      <c r="J26" s="87" t="str">
        <f aca="false">IF(OR(G26="",H26=""),"","Q"&amp;INT((MONTH(G26)+2)/3)&amp;" "&amp;YEAR(G26)&amp;IF("Q"&amp;INT((MONTH(G26)+2)/3)&amp;" "&amp;YEAR(G26)="Q"&amp;INT((MONTH(H26)+2)/3)&amp;" "&amp;YEAR(H26),""," to "&amp;"Q"&amp;INT((MONTH(H26)+2)/3)&amp;" "&amp;YEAR(H26)))</f>
        <v>Q2 2028</v>
      </c>
      <c r="K26" s="88" t="str">
        <f aca="false">IF(A26="","",IF(L26="Done","Done",IF(OR(L26="In progress",G26&lt;=Cover!$C$7+120),"Now",IF(G26&lt;=Cover!$C$7+365,"Next","Later"))))</f>
        <v>Later</v>
      </c>
      <c r="L26" s="20" t="s">
        <v>38</v>
      </c>
      <c r="M26" s="20" t="s">
        <v>222</v>
      </c>
      <c r="N26" s="20" t="s">
        <v>202</v>
      </c>
      <c r="O26" s="12" t="s">
        <v>160</v>
      </c>
      <c r="P26" s="12" t="s">
        <v>301</v>
      </c>
      <c r="Q26" s="12" t="s">
        <v>305</v>
      </c>
      <c r="R26" s="12" t="s">
        <v>211</v>
      </c>
      <c r="S26" s="86" t="str">
        <f aca="false">IF(K26="Now",G26+ROW()/100000,"")</f>
        <v/>
      </c>
      <c r="T26" s="86" t="str">
        <f aca="false">IF(K26="Next",G26+ROW()/100000,"")</f>
        <v/>
      </c>
      <c r="U26" s="89" t="n">
        <f aca="false">IF(K26="Later",G26+ROW()/100000,"")</f>
        <v>46846.00026</v>
      </c>
    </row>
    <row r="27" customFormat="false" ht="45" hidden="false" customHeight="true" outlineLevel="0" collapsed="false">
      <c r="A27" s="48" t="s">
        <v>143</v>
      </c>
      <c r="B27" s="20" t="s">
        <v>140</v>
      </c>
      <c r="C27" s="86" t="str">
        <f aca="false">IF(B27="","",IFERROR(INDEX('Themes &amp; Outcomes'!$B$5:$B$10,MATCH(B27,'Themes &amp; Outcomes'!$A$5:$A$10,0)),"Unknown theme"))</f>
        <v>Expansion</v>
      </c>
      <c r="D27" s="11" t="s">
        <v>306</v>
      </c>
      <c r="E27" s="12" t="s">
        <v>307</v>
      </c>
      <c r="F27" s="12" t="s">
        <v>272</v>
      </c>
      <c r="G27" s="21" t="n">
        <v>46937</v>
      </c>
      <c r="H27" s="21" t="n">
        <v>47116</v>
      </c>
      <c r="I27" s="87" t="n">
        <f aca="false">IF(OR(G27="",H27=""),"",ROUND((H27-G27+1)/7,0))</f>
        <v>26</v>
      </c>
      <c r="J27" s="87" t="str">
        <f aca="false">IF(OR(G27="",H27=""),"","Q"&amp;INT((MONTH(G27)+2)/3)&amp;" "&amp;YEAR(G27)&amp;IF("Q"&amp;INT((MONTH(G27)+2)/3)&amp;" "&amp;YEAR(G27)="Q"&amp;INT((MONTH(H27)+2)/3)&amp;" "&amp;YEAR(H27),""," to "&amp;"Q"&amp;INT((MONTH(H27)+2)/3)&amp;" "&amp;YEAR(H27)))</f>
        <v>Q3 2028 to Q4 2028</v>
      </c>
      <c r="K27" s="88" t="str">
        <f aca="false">IF(A27="","",IF(L27="Done","Done",IF(OR(L27="In progress",G27&lt;=Cover!$C$7+120),"Now",IF(G27&lt;=Cover!$C$7+365,"Next","Later"))))</f>
        <v>Later</v>
      </c>
      <c r="L27" s="20" t="s">
        <v>38</v>
      </c>
      <c r="M27" s="20" t="s">
        <v>222</v>
      </c>
      <c r="N27" s="20" t="s">
        <v>202</v>
      </c>
      <c r="O27" s="12" t="s">
        <v>160</v>
      </c>
      <c r="P27" s="12" t="s">
        <v>308</v>
      </c>
      <c r="Q27" s="12"/>
      <c r="R27" s="12" t="s">
        <v>309</v>
      </c>
      <c r="S27" s="86" t="str">
        <f aca="false">IF(K27="Now",G27+ROW()/100000,"")</f>
        <v/>
      </c>
      <c r="T27" s="86" t="str">
        <f aca="false">IF(K27="Next",G27+ROW()/100000,"")</f>
        <v/>
      </c>
      <c r="U27" s="89" t="n">
        <f aca="false">IF(K27="Later",G27+ROW()/100000,"")</f>
        <v>46937.00027</v>
      </c>
    </row>
    <row r="28" customFormat="false" ht="45" hidden="false" customHeight="true" outlineLevel="0" collapsed="false">
      <c r="A28" s="48" t="s">
        <v>144</v>
      </c>
      <c r="B28" s="20" t="s">
        <v>140</v>
      </c>
      <c r="C28" s="86" t="str">
        <f aca="false">IF(B28="","",IFERROR(INDEX('Themes &amp; Outcomes'!$B$5:$B$10,MATCH(B28,'Themes &amp; Outcomes'!$A$5:$A$10,0)),"Unknown theme"))</f>
        <v>Expansion</v>
      </c>
      <c r="D28" s="11" t="s">
        <v>310</v>
      </c>
      <c r="E28" s="12" t="s">
        <v>311</v>
      </c>
      <c r="F28" s="12" t="s">
        <v>312</v>
      </c>
      <c r="G28" s="21" t="n">
        <v>46937</v>
      </c>
      <c r="H28" s="21" t="n">
        <v>47116</v>
      </c>
      <c r="I28" s="87" t="n">
        <f aca="false">IF(OR(G28="",H28=""),"",ROUND((H28-G28+1)/7,0))</f>
        <v>26</v>
      </c>
      <c r="J28" s="87" t="str">
        <f aca="false">IF(OR(G28="",H28=""),"","Q"&amp;INT((MONTH(G28)+2)/3)&amp;" "&amp;YEAR(G28)&amp;IF("Q"&amp;INT((MONTH(G28)+2)/3)&amp;" "&amp;YEAR(G28)="Q"&amp;INT((MONTH(H28)+2)/3)&amp;" "&amp;YEAR(H28),""," to "&amp;"Q"&amp;INT((MONTH(H28)+2)/3)&amp;" "&amp;YEAR(H28)))</f>
        <v>Q3 2028 to Q4 2028</v>
      </c>
      <c r="K28" s="88" t="str">
        <f aca="false">IF(A28="","",IF(L28="Done","Done",IF(OR(L28="In progress",G28&lt;=Cover!$C$7+120),"Now",IF(G28&lt;=Cover!$C$7+365,"Next","Later"))))</f>
        <v>Later</v>
      </c>
      <c r="L28" s="20" t="s">
        <v>38</v>
      </c>
      <c r="M28" s="20" t="s">
        <v>222</v>
      </c>
      <c r="N28" s="20" t="s">
        <v>202</v>
      </c>
      <c r="O28" s="12" t="s">
        <v>174</v>
      </c>
      <c r="P28" s="12" t="s">
        <v>313</v>
      </c>
      <c r="Q28" s="12"/>
      <c r="R28" s="12" t="s">
        <v>309</v>
      </c>
      <c r="S28" s="86" t="str">
        <f aca="false">IF(K28="Now",G28+ROW()/100000,"")</f>
        <v/>
      </c>
      <c r="T28" s="86" t="str">
        <f aca="false">IF(K28="Next",G28+ROW()/100000,"")</f>
        <v/>
      </c>
      <c r="U28" s="89" t="n">
        <f aca="false">IF(K28="Later",G28+ROW()/100000,"")</f>
        <v>46937.00028</v>
      </c>
    </row>
    <row r="29" customFormat="false" ht="57.75" hidden="false" customHeight="true" outlineLevel="0" collapsed="false">
      <c r="A29" s="48" t="s">
        <v>123</v>
      </c>
      <c r="B29" s="20" t="s">
        <v>117</v>
      </c>
      <c r="C29" s="86" t="str">
        <f aca="false">IF(B29="","",IFERROR(INDEX('Themes &amp; Outcomes'!$B$5:$B$10,MATCH(B29,'Themes &amp; Outcomes'!$A$5:$A$10,0)),"Unknown theme"))</f>
        <v>Help merchants win more disputes</v>
      </c>
      <c r="D29" s="11" t="s">
        <v>314</v>
      </c>
      <c r="E29" s="12" t="s">
        <v>315</v>
      </c>
      <c r="F29" s="12" t="s">
        <v>316</v>
      </c>
      <c r="G29" s="21" t="n">
        <v>46573</v>
      </c>
      <c r="H29" s="21" t="n">
        <v>46654</v>
      </c>
      <c r="I29" s="87" t="n">
        <f aca="false">IF(OR(G29="",H29=""),"",ROUND((H29-G29+1)/7,0))</f>
        <v>12</v>
      </c>
      <c r="J29" s="87" t="str">
        <f aca="false">IF(OR(G29="",H29=""),"","Q"&amp;INT((MONTH(G29)+2)/3)&amp;" "&amp;YEAR(G29)&amp;IF("Q"&amp;INT((MONTH(G29)+2)/3)&amp;" "&amp;YEAR(G29)="Q"&amp;INT((MONTH(H29)+2)/3)&amp;" "&amp;YEAR(H29),""," to "&amp;"Q"&amp;INT((MONTH(H29)+2)/3)&amp;" "&amp;YEAR(H29)))</f>
        <v>Q3 2027</v>
      </c>
      <c r="K29" s="88" t="str">
        <f aca="false">IF(A29="","",IF(L29="Done","Done",IF(OR(L29="In progress",G29&lt;=Cover!$C$7+120),"Now",IF(G29&lt;=Cover!$C$7+365,"Next","Later"))))</f>
        <v>Next</v>
      </c>
      <c r="L29" s="20" t="s">
        <v>36</v>
      </c>
      <c r="M29" s="20" t="s">
        <v>201</v>
      </c>
      <c r="N29" s="20" t="s">
        <v>208</v>
      </c>
      <c r="O29" s="12" t="s">
        <v>168</v>
      </c>
      <c r="P29" s="12" t="s">
        <v>317</v>
      </c>
      <c r="Q29" s="12" t="s">
        <v>318</v>
      </c>
      <c r="R29" s="12" t="s">
        <v>319</v>
      </c>
      <c r="S29" s="86" t="str">
        <f aca="false">IF(K29="Now",G29+ROW()/100000,"")</f>
        <v/>
      </c>
      <c r="T29" s="89" t="n">
        <f aca="false">IF(K29="Next",G29+ROW()/100000,"")</f>
        <v>46573.00029</v>
      </c>
      <c r="U29" s="86" t="str">
        <f aca="false">IF(K29="Later",G29+ROW()/100000,"")</f>
        <v/>
      </c>
    </row>
    <row r="30" customFormat="false" ht="45" hidden="false" customHeight="true" outlineLevel="0" collapsed="false">
      <c r="A30" s="48" t="s">
        <v>124</v>
      </c>
      <c r="B30" s="20" t="s">
        <v>117</v>
      </c>
      <c r="C30" s="86" t="str">
        <f aca="false">IF(B30="","",IFERROR(INDEX('Themes &amp; Outcomes'!$B$5:$B$10,MATCH(B30,'Themes &amp; Outcomes'!$A$5:$A$10,0)),"Unknown theme"))</f>
        <v>Help merchants win more disputes</v>
      </c>
      <c r="D30" s="11" t="s">
        <v>320</v>
      </c>
      <c r="E30" s="12" t="s">
        <v>321</v>
      </c>
      <c r="F30" s="12" t="s">
        <v>322</v>
      </c>
      <c r="G30" s="21" t="n">
        <v>46573</v>
      </c>
      <c r="H30" s="21" t="n">
        <v>46738</v>
      </c>
      <c r="I30" s="87" t="n">
        <f aca="false">IF(OR(G30="",H30=""),"",ROUND((H30-G30+1)/7,0))</f>
        <v>24</v>
      </c>
      <c r="J30" s="87" t="str">
        <f aca="false">IF(OR(G30="",H30=""),"","Q"&amp;INT((MONTH(G30)+2)/3)&amp;" "&amp;YEAR(G30)&amp;IF("Q"&amp;INT((MONTH(G30)+2)/3)&amp;" "&amp;YEAR(G30)="Q"&amp;INT((MONTH(H30)+2)/3)&amp;" "&amp;YEAR(H30),""," to "&amp;"Q"&amp;INT((MONTH(H30)+2)/3)&amp;" "&amp;YEAR(H30)))</f>
        <v>Q3 2027 to Q4 2027</v>
      </c>
      <c r="K30" s="88" t="str">
        <f aca="false">IF(A30="","",IF(L30="Done","Done",IF(OR(L30="In progress",G30&lt;=Cover!$C$7+120),"Now",IF(G30&lt;=Cover!$C$7+365,"Next","Later"))))</f>
        <v>Next</v>
      </c>
      <c r="L30" s="20" t="s">
        <v>36</v>
      </c>
      <c r="M30" s="20" t="s">
        <v>222</v>
      </c>
      <c r="N30" s="20" t="s">
        <v>202</v>
      </c>
      <c r="O30" s="12" t="s">
        <v>160</v>
      </c>
      <c r="P30" s="12" t="s">
        <v>323</v>
      </c>
      <c r="Q30" s="12" t="s">
        <v>324</v>
      </c>
      <c r="R30" s="12" t="s">
        <v>319</v>
      </c>
      <c r="S30" s="86" t="str">
        <f aca="false">IF(K30="Now",G30+ROW()/100000,"")</f>
        <v/>
      </c>
      <c r="T30" s="89" t="n">
        <f aca="false">IF(K30="Next",G30+ROW()/100000,"")</f>
        <v>46573.0003</v>
      </c>
      <c r="U30" s="86" t="str">
        <f aca="false">IF(K30="Later",G30+ROW()/100000,"")</f>
        <v/>
      </c>
    </row>
    <row r="31" customFormat="false" ht="57.75" hidden="false" customHeight="true" outlineLevel="0" collapsed="false">
      <c r="A31" s="48" t="s">
        <v>125</v>
      </c>
      <c r="B31" s="20" t="s">
        <v>117</v>
      </c>
      <c r="C31" s="86" t="str">
        <f aca="false">IF(B31="","",IFERROR(INDEX('Themes &amp; Outcomes'!$B$5:$B$10,MATCH(B31,'Themes &amp; Outcomes'!$A$5:$A$10,0)),"Unknown theme"))</f>
        <v>Help merchants win more disputes</v>
      </c>
      <c r="D31" s="11" t="s">
        <v>325</v>
      </c>
      <c r="E31" s="12" t="s">
        <v>326</v>
      </c>
      <c r="F31" s="12" t="s">
        <v>327</v>
      </c>
      <c r="G31" s="21" t="n">
        <v>46755</v>
      </c>
      <c r="H31" s="21" t="n">
        <v>46843</v>
      </c>
      <c r="I31" s="87" t="n">
        <f aca="false">IF(OR(G31="",H31=""),"",ROUND((H31-G31+1)/7,0))</f>
        <v>13</v>
      </c>
      <c r="J31" s="87" t="str">
        <f aca="false">IF(OR(G31="",H31=""),"","Q"&amp;INT((MONTH(G31)+2)/3)&amp;" "&amp;YEAR(G31)&amp;IF("Q"&amp;INT((MONTH(G31)+2)/3)&amp;" "&amp;YEAR(G31)="Q"&amp;INT((MONTH(H31)+2)/3)&amp;" "&amp;YEAR(H31),""," to "&amp;"Q"&amp;INT((MONTH(H31)+2)/3)&amp;" "&amp;YEAR(H31)))</f>
        <v>Q1 2028</v>
      </c>
      <c r="K31" s="88" t="str">
        <f aca="false">IF(A31="","",IF(L31="Done","Done",IF(OR(L31="In progress",G31&lt;=Cover!$C$7+120),"Now",IF(G31&lt;=Cover!$C$7+365,"Next","Later"))))</f>
        <v>Later</v>
      </c>
      <c r="L31" s="20" t="s">
        <v>38</v>
      </c>
      <c r="M31" s="20" t="s">
        <v>222</v>
      </c>
      <c r="N31" s="20" t="s">
        <v>208</v>
      </c>
      <c r="O31" s="12" t="s">
        <v>160</v>
      </c>
      <c r="P31" s="12" t="s">
        <v>328</v>
      </c>
      <c r="Q31" s="12" t="s">
        <v>329</v>
      </c>
      <c r="R31" s="12" t="s">
        <v>319</v>
      </c>
      <c r="S31" s="86" t="str">
        <f aca="false">IF(K31="Now",G31+ROW()/100000,"")</f>
        <v/>
      </c>
      <c r="T31" s="86" t="str">
        <f aca="false">IF(K31="Next",G31+ROW()/100000,"")</f>
        <v/>
      </c>
      <c r="U31" s="89" t="n">
        <f aca="false">IF(K31="Later",G31+ROW()/100000,"")</f>
        <v>46755.00031</v>
      </c>
    </row>
    <row r="32" customFormat="false" ht="45" hidden="false" customHeight="true" outlineLevel="0" collapsed="false">
      <c r="A32" s="48" t="s">
        <v>139</v>
      </c>
      <c r="B32" s="20" t="s">
        <v>134</v>
      </c>
      <c r="C32" s="86" t="str">
        <f aca="false">IF(B32="","",IFERROR(INDEX('Themes &amp; Outcomes'!$B$5:$B$10,MATCH(B32,'Themes &amp; Outcomes'!$A$5:$A$10,0)),"Unknown theme"))</f>
        <v>Trust, compliance and data</v>
      </c>
      <c r="D32" s="11" t="s">
        <v>330</v>
      </c>
      <c r="E32" s="12" t="s">
        <v>331</v>
      </c>
      <c r="F32" s="12" t="s">
        <v>332</v>
      </c>
      <c r="G32" s="21" t="n">
        <v>46482</v>
      </c>
      <c r="H32" s="21" t="n">
        <v>46563</v>
      </c>
      <c r="I32" s="87" t="n">
        <f aca="false">IF(OR(G32="",H32=""),"",ROUND((H32-G32+1)/7,0))</f>
        <v>12</v>
      </c>
      <c r="J32" s="87" t="str">
        <f aca="false">IF(OR(G32="",H32=""),"","Q"&amp;INT((MONTH(G32)+2)/3)&amp;" "&amp;YEAR(G32)&amp;IF("Q"&amp;INT((MONTH(G32)+2)/3)&amp;" "&amp;YEAR(G32)="Q"&amp;INT((MONTH(H32)+2)/3)&amp;" "&amp;YEAR(H32),""," to "&amp;"Q"&amp;INT((MONTH(H32)+2)/3)&amp;" "&amp;YEAR(H32)))</f>
        <v>Q2 2027</v>
      </c>
      <c r="K32" s="88" t="str">
        <f aca="false">IF(A32="","",IF(L32="Done","Done",IF(OR(L32="In progress",G32&lt;=Cover!$C$7+120),"Now",IF(G32&lt;=Cover!$C$7+365,"Next","Later"))))</f>
        <v>Next</v>
      </c>
      <c r="L32" s="20" t="s">
        <v>36</v>
      </c>
      <c r="M32" s="20" t="s">
        <v>201</v>
      </c>
      <c r="N32" s="20" t="s">
        <v>208</v>
      </c>
      <c r="O32" s="12" t="s">
        <v>163</v>
      </c>
      <c r="P32" s="12" t="s">
        <v>333</v>
      </c>
      <c r="Q32" s="12" t="s">
        <v>334</v>
      </c>
      <c r="R32" s="12" t="s">
        <v>319</v>
      </c>
      <c r="S32" s="86" t="str">
        <f aca="false">IF(K32="Now",G32+ROW()/100000,"")</f>
        <v/>
      </c>
      <c r="T32" s="89" t="n">
        <f aca="false">IF(K32="Next",G32+ROW()/100000,"")</f>
        <v>46482.00032</v>
      </c>
      <c r="U32" s="86" t="str">
        <f aca="false">IF(K32="Later",G32+ROW()/100000,"")</f>
        <v/>
      </c>
    </row>
    <row r="33" customFormat="false" ht="45" hidden="false" customHeight="true" outlineLevel="0" collapsed="false">
      <c r="A33" s="48" t="s">
        <v>126</v>
      </c>
      <c r="B33" s="20" t="s">
        <v>117</v>
      </c>
      <c r="C33" s="86" t="str">
        <f aca="false">IF(B33="","",IFERROR(INDEX('Themes &amp; Outcomes'!$B$5:$B$10,MATCH(B33,'Themes &amp; Outcomes'!$A$5:$A$10,0)),"Unknown theme"))</f>
        <v>Help merchants win more disputes</v>
      </c>
      <c r="D33" s="11" t="s">
        <v>335</v>
      </c>
      <c r="E33" s="12" t="s">
        <v>336</v>
      </c>
      <c r="F33" s="12" t="s">
        <v>337</v>
      </c>
      <c r="G33" s="21" t="n">
        <v>46755</v>
      </c>
      <c r="H33" s="21" t="n">
        <v>46934</v>
      </c>
      <c r="I33" s="87" t="n">
        <f aca="false">IF(OR(G33="",H33=""),"",ROUND((H33-G33+1)/7,0))</f>
        <v>26</v>
      </c>
      <c r="J33" s="87" t="str">
        <f aca="false">IF(OR(G33="",H33=""),"","Q"&amp;INT((MONTH(G33)+2)/3)&amp;" "&amp;YEAR(G33)&amp;IF("Q"&amp;INT((MONTH(G33)+2)/3)&amp;" "&amp;YEAR(G33)="Q"&amp;INT((MONTH(H33)+2)/3)&amp;" "&amp;YEAR(H33),""," to "&amp;"Q"&amp;INT((MONTH(H33)+2)/3)&amp;" "&amp;YEAR(H33)))</f>
        <v>Q1 2028 to Q2 2028</v>
      </c>
      <c r="K33" s="88" t="str">
        <f aca="false">IF(A33="","",IF(L33="Done","Done",IF(OR(L33="In progress",G33&lt;=Cover!$C$7+120),"Now",IF(G33&lt;=Cover!$C$7+365,"Next","Later"))))</f>
        <v>Later</v>
      </c>
      <c r="L33" s="20" t="s">
        <v>38</v>
      </c>
      <c r="M33" s="20" t="s">
        <v>222</v>
      </c>
      <c r="N33" s="20" t="s">
        <v>202</v>
      </c>
      <c r="O33" s="12" t="s">
        <v>160</v>
      </c>
      <c r="P33" s="12" t="s">
        <v>338</v>
      </c>
      <c r="Q33" s="12" t="s">
        <v>339</v>
      </c>
      <c r="R33" s="12" t="s">
        <v>319</v>
      </c>
      <c r="S33" s="86" t="str">
        <f aca="false">IF(K33="Now",G33+ROW()/100000,"")</f>
        <v/>
      </c>
      <c r="T33" s="86" t="str">
        <f aca="false">IF(K33="Next",G33+ROW()/100000,"")</f>
        <v/>
      </c>
      <c r="U33" s="89" t="n">
        <f aca="false">IF(K33="Later",G33+ROW()/100000,"")</f>
        <v>46755.00033</v>
      </c>
    </row>
    <row r="34" customFormat="false" ht="45" hidden="false" customHeight="true" outlineLevel="0" collapsed="false">
      <c r="A34" s="48" t="s">
        <v>145</v>
      </c>
      <c r="B34" s="20" t="s">
        <v>140</v>
      </c>
      <c r="C34" s="86" t="str">
        <f aca="false">IF(B34="","",IFERROR(INDEX('Themes &amp; Outcomes'!$B$5:$B$10,MATCH(B34,'Themes &amp; Outcomes'!$A$5:$A$10,0)),"Unknown theme"))</f>
        <v>Expansion</v>
      </c>
      <c r="D34" s="11" t="s">
        <v>340</v>
      </c>
      <c r="E34" s="12" t="s">
        <v>341</v>
      </c>
      <c r="F34" s="12" t="s">
        <v>342</v>
      </c>
      <c r="G34" s="21" t="n">
        <v>46846</v>
      </c>
      <c r="H34" s="21" t="n">
        <v>47025</v>
      </c>
      <c r="I34" s="87" t="n">
        <f aca="false">IF(OR(G34="",H34=""),"",ROUND((H34-G34+1)/7,0))</f>
        <v>26</v>
      </c>
      <c r="J34" s="87" t="str">
        <f aca="false">IF(OR(G34="",H34=""),"","Q"&amp;INT((MONTH(G34)+2)/3)&amp;" "&amp;YEAR(G34)&amp;IF("Q"&amp;INT((MONTH(G34)+2)/3)&amp;" "&amp;YEAR(G34)="Q"&amp;INT((MONTH(H34)+2)/3)&amp;" "&amp;YEAR(H34),""," to "&amp;"Q"&amp;INT((MONTH(H34)+2)/3)&amp;" "&amp;YEAR(H34)))</f>
        <v>Q2 2028 to Q3 2028</v>
      </c>
      <c r="K34" s="88" t="str">
        <f aca="false">IF(A34="","",IF(L34="Done","Done",IF(OR(L34="In progress",G34&lt;=Cover!$C$7+120),"Now",IF(G34&lt;=Cover!$C$7+365,"Next","Later"))))</f>
        <v>Later</v>
      </c>
      <c r="L34" s="20" t="s">
        <v>38</v>
      </c>
      <c r="M34" s="20" t="s">
        <v>222</v>
      </c>
      <c r="N34" s="20" t="s">
        <v>202</v>
      </c>
      <c r="O34" s="12" t="s">
        <v>194</v>
      </c>
      <c r="P34" s="12" t="s">
        <v>343</v>
      </c>
      <c r="Q34" s="12" t="s">
        <v>344</v>
      </c>
      <c r="R34" s="12" t="s">
        <v>319</v>
      </c>
      <c r="S34" s="86" t="str">
        <f aca="false">IF(K34="Now",G34+ROW()/100000,"")</f>
        <v/>
      </c>
      <c r="T34" s="86" t="str">
        <f aca="false">IF(K34="Next",G34+ROW()/100000,"")</f>
        <v/>
      </c>
      <c r="U34" s="89" t="n">
        <f aca="false">IF(K34="Later",G34+ROW()/100000,"")</f>
        <v>46846.00034</v>
      </c>
    </row>
    <row r="35" customFormat="false" ht="19.5" hidden="false" customHeight="true" outlineLevel="0" collapsed="false">
      <c r="A35" s="20"/>
      <c r="B35" s="20"/>
      <c r="C35" s="86" t="str">
        <f aca="false">IF(B35="","",IFERROR(INDEX('Themes &amp; Outcomes'!$B$5:$B$10,MATCH(B35,'Themes &amp; Outcomes'!$A$5:$A$10,0)),"Unknown theme"))</f>
        <v/>
      </c>
      <c r="D35" s="12"/>
      <c r="E35" s="12"/>
      <c r="F35" s="12"/>
      <c r="G35" s="21"/>
      <c r="H35" s="21"/>
      <c r="I35" s="87" t="str">
        <f aca="false">IF(OR(G35="",H35=""),"",ROUND((H35-G35+1)/7,0))</f>
        <v/>
      </c>
      <c r="J35" s="87" t="str">
        <f aca="false">IF(OR(G35="",H35=""),"","Q"&amp;INT((MONTH(G35)+2)/3)&amp;" "&amp;YEAR(G35)&amp;IF("Q"&amp;INT((MONTH(G35)+2)/3)&amp;" "&amp;YEAR(G35)="Q"&amp;INT((MONTH(H35)+2)/3)&amp;" "&amp;YEAR(H35),""," to "&amp;"Q"&amp;INT((MONTH(H35)+2)/3)&amp;" "&amp;YEAR(H35)))</f>
        <v/>
      </c>
      <c r="K35" s="88" t="str">
        <f aca="false">IF(A35="","",IF(L35="Done","Done",IF(OR(L35="In progress",G35&lt;=Cover!$C$7+120),"Now",IF(G35&lt;=Cover!$C$7+365,"Next","Later"))))</f>
        <v/>
      </c>
      <c r="L35" s="20"/>
      <c r="M35" s="20"/>
      <c r="N35" s="20"/>
      <c r="O35" s="12"/>
      <c r="P35" s="12"/>
      <c r="Q35" s="12"/>
      <c r="R35" s="12"/>
      <c r="S35" s="86" t="str">
        <f aca="false">IF(K35="Now",G35+ROW()/100000,"")</f>
        <v/>
      </c>
      <c r="T35" s="86" t="str">
        <f aca="false">IF(K35="Next",G35+ROW()/100000,"")</f>
        <v/>
      </c>
      <c r="U35" s="86" t="str">
        <f aca="false">IF(K35="Later",G35+ROW()/100000,"")</f>
        <v/>
      </c>
    </row>
    <row r="36" customFormat="false" ht="19.5" hidden="false" customHeight="true" outlineLevel="0" collapsed="false">
      <c r="A36" s="20"/>
      <c r="B36" s="20"/>
      <c r="C36" s="86" t="str">
        <f aca="false">IF(B36="","",IFERROR(INDEX('Themes &amp; Outcomes'!$B$5:$B$10,MATCH(B36,'Themes &amp; Outcomes'!$A$5:$A$10,0)),"Unknown theme"))</f>
        <v/>
      </c>
      <c r="D36" s="12"/>
      <c r="E36" s="12"/>
      <c r="F36" s="12"/>
      <c r="G36" s="21"/>
      <c r="H36" s="21"/>
      <c r="I36" s="87" t="str">
        <f aca="false">IF(OR(G36="",H36=""),"",ROUND((H36-G36+1)/7,0))</f>
        <v/>
      </c>
      <c r="J36" s="87" t="str">
        <f aca="false">IF(OR(G36="",H36=""),"","Q"&amp;INT((MONTH(G36)+2)/3)&amp;" "&amp;YEAR(G36)&amp;IF("Q"&amp;INT((MONTH(G36)+2)/3)&amp;" "&amp;YEAR(G36)="Q"&amp;INT((MONTH(H36)+2)/3)&amp;" "&amp;YEAR(H36),""," to "&amp;"Q"&amp;INT((MONTH(H36)+2)/3)&amp;" "&amp;YEAR(H36)))</f>
        <v/>
      </c>
      <c r="K36" s="88" t="str">
        <f aca="false">IF(A36="","",IF(L36="Done","Done",IF(OR(L36="In progress",G36&lt;=Cover!$C$7+120),"Now",IF(G36&lt;=Cover!$C$7+365,"Next","Later"))))</f>
        <v/>
      </c>
      <c r="L36" s="20"/>
      <c r="M36" s="20"/>
      <c r="N36" s="20"/>
      <c r="O36" s="12"/>
      <c r="P36" s="12"/>
      <c r="Q36" s="12"/>
      <c r="R36" s="12"/>
      <c r="S36" s="86" t="str">
        <f aca="false">IF(K36="Now",G36+ROW()/100000,"")</f>
        <v/>
      </c>
      <c r="T36" s="86" t="str">
        <f aca="false">IF(K36="Next",G36+ROW()/100000,"")</f>
        <v/>
      </c>
      <c r="U36" s="86" t="str">
        <f aca="false">IF(K36="Later",G36+ROW()/100000,"")</f>
        <v/>
      </c>
    </row>
    <row r="37" customFormat="false" ht="19.5" hidden="false" customHeight="true" outlineLevel="0" collapsed="false">
      <c r="A37" s="20"/>
      <c r="B37" s="20"/>
      <c r="C37" s="86" t="str">
        <f aca="false">IF(B37="","",IFERROR(INDEX('Themes &amp; Outcomes'!$B$5:$B$10,MATCH(B37,'Themes &amp; Outcomes'!$A$5:$A$10,0)),"Unknown theme"))</f>
        <v/>
      </c>
      <c r="D37" s="12"/>
      <c r="E37" s="12"/>
      <c r="F37" s="12"/>
      <c r="G37" s="21"/>
      <c r="H37" s="21"/>
      <c r="I37" s="87" t="str">
        <f aca="false">IF(OR(G37="",H37=""),"",ROUND((H37-G37+1)/7,0))</f>
        <v/>
      </c>
      <c r="J37" s="87" t="str">
        <f aca="false">IF(OR(G37="",H37=""),"","Q"&amp;INT((MONTH(G37)+2)/3)&amp;" "&amp;YEAR(G37)&amp;IF("Q"&amp;INT((MONTH(G37)+2)/3)&amp;" "&amp;YEAR(G37)="Q"&amp;INT((MONTH(H37)+2)/3)&amp;" "&amp;YEAR(H37),""," to "&amp;"Q"&amp;INT((MONTH(H37)+2)/3)&amp;" "&amp;YEAR(H37)))</f>
        <v/>
      </c>
      <c r="K37" s="88" t="str">
        <f aca="false">IF(A37="","",IF(L37="Done","Done",IF(OR(L37="In progress",G37&lt;=Cover!$C$7+120),"Now",IF(G37&lt;=Cover!$C$7+365,"Next","Later"))))</f>
        <v/>
      </c>
      <c r="L37" s="20"/>
      <c r="M37" s="20"/>
      <c r="N37" s="20"/>
      <c r="O37" s="12"/>
      <c r="P37" s="12"/>
      <c r="Q37" s="12"/>
      <c r="R37" s="12"/>
      <c r="S37" s="86" t="str">
        <f aca="false">IF(K37="Now",G37+ROW()/100000,"")</f>
        <v/>
      </c>
      <c r="T37" s="86" t="str">
        <f aca="false">IF(K37="Next",G37+ROW()/100000,"")</f>
        <v/>
      </c>
      <c r="U37" s="86" t="str">
        <f aca="false">IF(K37="Later",G37+ROW()/100000,"")</f>
        <v/>
      </c>
    </row>
    <row r="38" customFormat="false" ht="19.5" hidden="false" customHeight="true" outlineLevel="0" collapsed="false">
      <c r="A38" s="20"/>
      <c r="B38" s="20"/>
      <c r="C38" s="86" t="str">
        <f aca="false">IF(B38="","",IFERROR(INDEX('Themes &amp; Outcomes'!$B$5:$B$10,MATCH(B38,'Themes &amp; Outcomes'!$A$5:$A$10,0)),"Unknown theme"))</f>
        <v/>
      </c>
      <c r="D38" s="12"/>
      <c r="E38" s="12"/>
      <c r="F38" s="12"/>
      <c r="G38" s="21"/>
      <c r="H38" s="21"/>
      <c r="I38" s="87" t="str">
        <f aca="false">IF(OR(G38="",H38=""),"",ROUND((H38-G38+1)/7,0))</f>
        <v/>
      </c>
      <c r="J38" s="87" t="str">
        <f aca="false">IF(OR(G38="",H38=""),"","Q"&amp;INT((MONTH(G38)+2)/3)&amp;" "&amp;YEAR(G38)&amp;IF("Q"&amp;INT((MONTH(G38)+2)/3)&amp;" "&amp;YEAR(G38)="Q"&amp;INT((MONTH(H38)+2)/3)&amp;" "&amp;YEAR(H38),""," to "&amp;"Q"&amp;INT((MONTH(H38)+2)/3)&amp;" "&amp;YEAR(H38)))</f>
        <v/>
      </c>
      <c r="K38" s="88" t="str">
        <f aca="false">IF(A38="","",IF(L38="Done","Done",IF(OR(L38="In progress",G38&lt;=Cover!$C$7+120),"Now",IF(G38&lt;=Cover!$C$7+365,"Next","Later"))))</f>
        <v/>
      </c>
      <c r="L38" s="20"/>
      <c r="M38" s="20"/>
      <c r="N38" s="20"/>
      <c r="O38" s="12"/>
      <c r="P38" s="12"/>
      <c r="Q38" s="12"/>
      <c r="R38" s="12"/>
      <c r="S38" s="86" t="str">
        <f aca="false">IF(K38="Now",G38+ROW()/100000,"")</f>
        <v/>
      </c>
      <c r="T38" s="86" t="str">
        <f aca="false">IF(K38="Next",G38+ROW()/100000,"")</f>
        <v/>
      </c>
      <c r="U38" s="86" t="str">
        <f aca="false">IF(K38="Later",G38+ROW()/100000,"")</f>
        <v/>
      </c>
    </row>
    <row r="39" customFormat="false" ht="19.5" hidden="false" customHeight="true" outlineLevel="0" collapsed="false">
      <c r="A39" s="20"/>
      <c r="B39" s="20"/>
      <c r="C39" s="86" t="str">
        <f aca="false">IF(B39="","",IFERROR(INDEX('Themes &amp; Outcomes'!$B$5:$B$10,MATCH(B39,'Themes &amp; Outcomes'!$A$5:$A$10,0)),"Unknown theme"))</f>
        <v/>
      </c>
      <c r="D39" s="12"/>
      <c r="E39" s="12"/>
      <c r="F39" s="12"/>
      <c r="G39" s="21"/>
      <c r="H39" s="21"/>
      <c r="I39" s="87" t="str">
        <f aca="false">IF(OR(G39="",H39=""),"",ROUND((H39-G39+1)/7,0))</f>
        <v/>
      </c>
      <c r="J39" s="87" t="str">
        <f aca="false">IF(OR(G39="",H39=""),"","Q"&amp;INT((MONTH(G39)+2)/3)&amp;" "&amp;YEAR(G39)&amp;IF("Q"&amp;INT((MONTH(G39)+2)/3)&amp;" "&amp;YEAR(G39)="Q"&amp;INT((MONTH(H39)+2)/3)&amp;" "&amp;YEAR(H39),""," to "&amp;"Q"&amp;INT((MONTH(H39)+2)/3)&amp;" "&amp;YEAR(H39)))</f>
        <v/>
      </c>
      <c r="K39" s="88" t="str">
        <f aca="false">IF(A39="","",IF(L39="Done","Done",IF(OR(L39="In progress",G39&lt;=Cover!$C$7+120),"Now",IF(G39&lt;=Cover!$C$7+365,"Next","Later"))))</f>
        <v/>
      </c>
      <c r="L39" s="20"/>
      <c r="M39" s="20"/>
      <c r="N39" s="20"/>
      <c r="O39" s="12"/>
      <c r="P39" s="12"/>
      <c r="Q39" s="12"/>
      <c r="R39" s="12"/>
      <c r="S39" s="86" t="str">
        <f aca="false">IF(K39="Now",G39+ROW()/100000,"")</f>
        <v/>
      </c>
      <c r="T39" s="86" t="str">
        <f aca="false">IF(K39="Next",G39+ROW()/100000,"")</f>
        <v/>
      </c>
      <c r="U39" s="86" t="str">
        <f aca="false">IF(K39="Later",G39+ROW()/100000,"")</f>
        <v/>
      </c>
    </row>
    <row r="40" customFormat="false" ht="19.5" hidden="false" customHeight="true" outlineLevel="0" collapsed="false">
      <c r="A40" s="20"/>
      <c r="B40" s="20"/>
      <c r="C40" s="86" t="str">
        <f aca="false">IF(B40="","",IFERROR(INDEX('Themes &amp; Outcomes'!$B$5:$B$10,MATCH(B40,'Themes &amp; Outcomes'!$A$5:$A$10,0)),"Unknown theme"))</f>
        <v/>
      </c>
      <c r="D40" s="12"/>
      <c r="E40" s="12"/>
      <c r="F40" s="12"/>
      <c r="G40" s="21"/>
      <c r="H40" s="21"/>
      <c r="I40" s="87" t="str">
        <f aca="false">IF(OR(G40="",H40=""),"",ROUND((H40-G40+1)/7,0))</f>
        <v/>
      </c>
      <c r="J40" s="87" t="str">
        <f aca="false">IF(OR(G40="",H40=""),"","Q"&amp;INT((MONTH(G40)+2)/3)&amp;" "&amp;YEAR(G40)&amp;IF("Q"&amp;INT((MONTH(G40)+2)/3)&amp;" "&amp;YEAR(G40)="Q"&amp;INT((MONTH(H40)+2)/3)&amp;" "&amp;YEAR(H40),""," to "&amp;"Q"&amp;INT((MONTH(H40)+2)/3)&amp;" "&amp;YEAR(H40)))</f>
        <v/>
      </c>
      <c r="K40" s="88" t="str">
        <f aca="false">IF(A40="","",IF(L40="Done","Done",IF(OR(L40="In progress",G40&lt;=Cover!$C$7+120),"Now",IF(G40&lt;=Cover!$C$7+365,"Next","Later"))))</f>
        <v/>
      </c>
      <c r="L40" s="20"/>
      <c r="M40" s="20"/>
      <c r="N40" s="20"/>
      <c r="O40" s="12"/>
      <c r="P40" s="12"/>
      <c r="Q40" s="12"/>
      <c r="R40" s="12"/>
      <c r="S40" s="86" t="str">
        <f aca="false">IF(K40="Now",G40+ROW()/100000,"")</f>
        <v/>
      </c>
      <c r="T40" s="86" t="str">
        <f aca="false">IF(K40="Next",G40+ROW()/100000,"")</f>
        <v/>
      </c>
      <c r="U40" s="86" t="str">
        <f aca="false">IF(K40="Later",G40+ROW()/100000,"")</f>
        <v/>
      </c>
    </row>
    <row r="41" customFormat="false" ht="19.5" hidden="false" customHeight="true" outlineLevel="0" collapsed="false">
      <c r="A41" s="20"/>
      <c r="B41" s="20"/>
      <c r="C41" s="86" t="str">
        <f aca="false">IF(B41="","",IFERROR(INDEX('Themes &amp; Outcomes'!$B$5:$B$10,MATCH(B41,'Themes &amp; Outcomes'!$A$5:$A$10,0)),"Unknown theme"))</f>
        <v/>
      </c>
      <c r="D41" s="12"/>
      <c r="E41" s="12"/>
      <c r="F41" s="12"/>
      <c r="G41" s="21"/>
      <c r="H41" s="21"/>
      <c r="I41" s="87" t="str">
        <f aca="false">IF(OR(G41="",H41=""),"",ROUND((H41-G41+1)/7,0))</f>
        <v/>
      </c>
      <c r="J41" s="87" t="str">
        <f aca="false">IF(OR(G41="",H41=""),"","Q"&amp;INT((MONTH(G41)+2)/3)&amp;" "&amp;YEAR(G41)&amp;IF("Q"&amp;INT((MONTH(G41)+2)/3)&amp;" "&amp;YEAR(G41)="Q"&amp;INT((MONTH(H41)+2)/3)&amp;" "&amp;YEAR(H41),""," to "&amp;"Q"&amp;INT((MONTH(H41)+2)/3)&amp;" "&amp;YEAR(H41)))</f>
        <v/>
      </c>
      <c r="K41" s="88" t="str">
        <f aca="false">IF(A41="","",IF(L41="Done","Done",IF(OR(L41="In progress",G41&lt;=Cover!$C$7+120),"Now",IF(G41&lt;=Cover!$C$7+365,"Next","Later"))))</f>
        <v/>
      </c>
      <c r="L41" s="20"/>
      <c r="M41" s="20"/>
      <c r="N41" s="20"/>
      <c r="O41" s="12"/>
      <c r="P41" s="12"/>
      <c r="Q41" s="12"/>
      <c r="R41" s="12"/>
      <c r="S41" s="86" t="str">
        <f aca="false">IF(K41="Now",G41+ROW()/100000,"")</f>
        <v/>
      </c>
      <c r="T41" s="86" t="str">
        <f aca="false">IF(K41="Next",G41+ROW()/100000,"")</f>
        <v/>
      </c>
      <c r="U41" s="86" t="str">
        <f aca="false">IF(K41="Later",G41+ROW()/100000,"")</f>
        <v/>
      </c>
    </row>
    <row r="42" customFormat="false" ht="19.5" hidden="false" customHeight="true" outlineLevel="0" collapsed="false">
      <c r="A42" s="20"/>
      <c r="B42" s="20"/>
      <c r="C42" s="86" t="str">
        <f aca="false">IF(B42="","",IFERROR(INDEX('Themes &amp; Outcomes'!$B$5:$B$10,MATCH(B42,'Themes &amp; Outcomes'!$A$5:$A$10,0)),"Unknown theme"))</f>
        <v/>
      </c>
      <c r="D42" s="12"/>
      <c r="E42" s="12"/>
      <c r="F42" s="12"/>
      <c r="G42" s="21"/>
      <c r="H42" s="21"/>
      <c r="I42" s="87" t="str">
        <f aca="false">IF(OR(G42="",H42=""),"",ROUND((H42-G42+1)/7,0))</f>
        <v/>
      </c>
      <c r="J42" s="87" t="str">
        <f aca="false">IF(OR(G42="",H42=""),"","Q"&amp;INT((MONTH(G42)+2)/3)&amp;" "&amp;YEAR(G42)&amp;IF("Q"&amp;INT((MONTH(G42)+2)/3)&amp;" "&amp;YEAR(G42)="Q"&amp;INT((MONTH(H42)+2)/3)&amp;" "&amp;YEAR(H42),""," to "&amp;"Q"&amp;INT((MONTH(H42)+2)/3)&amp;" "&amp;YEAR(H42)))</f>
        <v/>
      </c>
      <c r="K42" s="88" t="str">
        <f aca="false">IF(A42="","",IF(L42="Done","Done",IF(OR(L42="In progress",G42&lt;=Cover!$C$7+120),"Now",IF(G42&lt;=Cover!$C$7+365,"Next","Later"))))</f>
        <v/>
      </c>
      <c r="L42" s="20"/>
      <c r="M42" s="20"/>
      <c r="N42" s="20"/>
      <c r="O42" s="12"/>
      <c r="P42" s="12"/>
      <c r="Q42" s="12"/>
      <c r="R42" s="12"/>
      <c r="S42" s="86" t="str">
        <f aca="false">IF(K42="Now",G42+ROW()/100000,"")</f>
        <v/>
      </c>
      <c r="T42" s="86" t="str">
        <f aca="false">IF(K42="Next",G42+ROW()/100000,"")</f>
        <v/>
      </c>
      <c r="U42" s="86" t="str">
        <f aca="false">IF(K42="Later",G42+ROW()/100000,"")</f>
        <v/>
      </c>
    </row>
    <row r="43" customFormat="false" ht="19.5" hidden="false" customHeight="true" outlineLevel="0" collapsed="false">
      <c r="A43" s="20"/>
      <c r="B43" s="20"/>
      <c r="C43" s="86" t="str">
        <f aca="false">IF(B43="","",IFERROR(INDEX('Themes &amp; Outcomes'!$B$5:$B$10,MATCH(B43,'Themes &amp; Outcomes'!$A$5:$A$10,0)),"Unknown theme"))</f>
        <v/>
      </c>
      <c r="D43" s="12"/>
      <c r="E43" s="12"/>
      <c r="F43" s="12"/>
      <c r="G43" s="21"/>
      <c r="H43" s="21"/>
      <c r="I43" s="87" t="str">
        <f aca="false">IF(OR(G43="",H43=""),"",ROUND((H43-G43+1)/7,0))</f>
        <v/>
      </c>
      <c r="J43" s="87" t="str">
        <f aca="false">IF(OR(G43="",H43=""),"","Q"&amp;INT((MONTH(G43)+2)/3)&amp;" "&amp;YEAR(G43)&amp;IF("Q"&amp;INT((MONTH(G43)+2)/3)&amp;" "&amp;YEAR(G43)="Q"&amp;INT((MONTH(H43)+2)/3)&amp;" "&amp;YEAR(H43),""," to "&amp;"Q"&amp;INT((MONTH(H43)+2)/3)&amp;" "&amp;YEAR(H43)))</f>
        <v/>
      </c>
      <c r="K43" s="88" t="str">
        <f aca="false">IF(A43="","",IF(L43="Done","Done",IF(OR(L43="In progress",G43&lt;=Cover!$C$7+120),"Now",IF(G43&lt;=Cover!$C$7+365,"Next","Later"))))</f>
        <v/>
      </c>
      <c r="L43" s="20"/>
      <c r="M43" s="20"/>
      <c r="N43" s="20"/>
      <c r="O43" s="12"/>
      <c r="P43" s="12"/>
      <c r="Q43" s="12"/>
      <c r="R43" s="12"/>
      <c r="S43" s="86" t="str">
        <f aca="false">IF(K43="Now",G43+ROW()/100000,"")</f>
        <v/>
      </c>
      <c r="T43" s="86" t="str">
        <f aca="false">IF(K43="Next",G43+ROW()/100000,"")</f>
        <v/>
      </c>
      <c r="U43" s="86" t="str">
        <f aca="false">IF(K43="Later",G43+ROW()/100000,"")</f>
        <v/>
      </c>
    </row>
    <row r="44" customFormat="false" ht="19.5" hidden="false" customHeight="true" outlineLevel="0" collapsed="false">
      <c r="A44" s="20"/>
      <c r="B44" s="20"/>
      <c r="C44" s="86" t="str">
        <f aca="false">IF(B44="","",IFERROR(INDEX('Themes &amp; Outcomes'!$B$5:$B$10,MATCH(B44,'Themes &amp; Outcomes'!$A$5:$A$10,0)),"Unknown theme"))</f>
        <v/>
      </c>
      <c r="D44" s="12"/>
      <c r="E44" s="12"/>
      <c r="F44" s="12"/>
      <c r="G44" s="21"/>
      <c r="H44" s="21"/>
      <c r="I44" s="87" t="str">
        <f aca="false">IF(OR(G44="",H44=""),"",ROUND((H44-G44+1)/7,0))</f>
        <v/>
      </c>
      <c r="J44" s="87" t="str">
        <f aca="false">IF(OR(G44="",H44=""),"","Q"&amp;INT((MONTH(G44)+2)/3)&amp;" "&amp;YEAR(G44)&amp;IF("Q"&amp;INT((MONTH(G44)+2)/3)&amp;" "&amp;YEAR(G44)="Q"&amp;INT((MONTH(H44)+2)/3)&amp;" "&amp;YEAR(H44),""," to "&amp;"Q"&amp;INT((MONTH(H44)+2)/3)&amp;" "&amp;YEAR(H44)))</f>
        <v/>
      </c>
      <c r="K44" s="88" t="str">
        <f aca="false">IF(A44="","",IF(L44="Done","Done",IF(OR(L44="In progress",G44&lt;=Cover!$C$7+120),"Now",IF(G44&lt;=Cover!$C$7+365,"Next","Later"))))</f>
        <v/>
      </c>
      <c r="L44" s="20"/>
      <c r="M44" s="20"/>
      <c r="N44" s="20"/>
      <c r="O44" s="12"/>
      <c r="P44" s="12"/>
      <c r="Q44" s="12"/>
      <c r="R44" s="12"/>
      <c r="S44" s="86" t="str">
        <f aca="false">IF(K44="Now",G44+ROW()/100000,"")</f>
        <v/>
      </c>
      <c r="T44" s="86" t="str">
        <f aca="false">IF(K44="Next",G44+ROW()/100000,"")</f>
        <v/>
      </c>
      <c r="U44" s="86" t="str">
        <f aca="false">IF(K44="Later",G44+ROW()/100000,"")</f>
        <v/>
      </c>
    </row>
    <row r="45" customFormat="false" ht="19.5" hidden="false" customHeight="true" outlineLevel="0" collapsed="false">
      <c r="A45" s="20"/>
      <c r="B45" s="20"/>
      <c r="C45" s="86" t="str">
        <f aca="false">IF(B45="","",IFERROR(INDEX('Themes &amp; Outcomes'!$B$5:$B$10,MATCH(B45,'Themes &amp; Outcomes'!$A$5:$A$10,0)),"Unknown theme"))</f>
        <v/>
      </c>
      <c r="D45" s="12"/>
      <c r="E45" s="12"/>
      <c r="F45" s="12"/>
      <c r="G45" s="21"/>
      <c r="H45" s="21"/>
      <c r="I45" s="87" t="str">
        <f aca="false">IF(OR(G45="",H45=""),"",ROUND((H45-G45+1)/7,0))</f>
        <v/>
      </c>
      <c r="J45" s="87" t="str">
        <f aca="false">IF(OR(G45="",H45=""),"","Q"&amp;INT((MONTH(G45)+2)/3)&amp;" "&amp;YEAR(G45)&amp;IF("Q"&amp;INT((MONTH(G45)+2)/3)&amp;" "&amp;YEAR(G45)="Q"&amp;INT((MONTH(H45)+2)/3)&amp;" "&amp;YEAR(H45),""," to "&amp;"Q"&amp;INT((MONTH(H45)+2)/3)&amp;" "&amp;YEAR(H45)))</f>
        <v/>
      </c>
      <c r="K45" s="88" t="str">
        <f aca="false">IF(A45="","",IF(L45="Done","Done",IF(OR(L45="In progress",G45&lt;=Cover!$C$7+120),"Now",IF(G45&lt;=Cover!$C$7+365,"Next","Later"))))</f>
        <v/>
      </c>
      <c r="L45" s="20"/>
      <c r="M45" s="20"/>
      <c r="N45" s="20"/>
      <c r="O45" s="12"/>
      <c r="P45" s="12"/>
      <c r="Q45" s="12"/>
      <c r="R45" s="12"/>
      <c r="S45" s="86" t="str">
        <f aca="false">IF(K45="Now",G45+ROW()/100000,"")</f>
        <v/>
      </c>
      <c r="T45" s="86" t="str">
        <f aca="false">IF(K45="Next",G45+ROW()/100000,"")</f>
        <v/>
      </c>
      <c r="U45" s="86" t="str">
        <f aca="false">IF(K45="Later",G45+ROW()/100000,"")</f>
        <v/>
      </c>
    </row>
    <row r="46" customFormat="false" ht="19.5" hidden="false" customHeight="true" outlineLevel="0" collapsed="false">
      <c r="A46" s="20"/>
      <c r="B46" s="20"/>
      <c r="C46" s="86" t="str">
        <f aca="false">IF(B46="","",IFERROR(INDEX('Themes &amp; Outcomes'!$B$5:$B$10,MATCH(B46,'Themes &amp; Outcomes'!$A$5:$A$10,0)),"Unknown theme"))</f>
        <v/>
      </c>
      <c r="D46" s="12"/>
      <c r="E46" s="12"/>
      <c r="F46" s="12"/>
      <c r="G46" s="21"/>
      <c r="H46" s="21"/>
      <c r="I46" s="87" t="str">
        <f aca="false">IF(OR(G46="",H46=""),"",ROUND((H46-G46+1)/7,0))</f>
        <v/>
      </c>
      <c r="J46" s="87" t="str">
        <f aca="false">IF(OR(G46="",H46=""),"","Q"&amp;INT((MONTH(G46)+2)/3)&amp;" "&amp;YEAR(G46)&amp;IF("Q"&amp;INT((MONTH(G46)+2)/3)&amp;" "&amp;YEAR(G46)="Q"&amp;INT((MONTH(H46)+2)/3)&amp;" "&amp;YEAR(H46),""," to "&amp;"Q"&amp;INT((MONTH(H46)+2)/3)&amp;" "&amp;YEAR(H46)))</f>
        <v/>
      </c>
      <c r="K46" s="88" t="str">
        <f aca="false">IF(A46="","",IF(L46="Done","Done",IF(OR(L46="In progress",G46&lt;=Cover!$C$7+120),"Now",IF(G46&lt;=Cover!$C$7+365,"Next","Later"))))</f>
        <v/>
      </c>
      <c r="L46" s="20"/>
      <c r="M46" s="20"/>
      <c r="N46" s="20"/>
      <c r="O46" s="12"/>
      <c r="P46" s="12"/>
      <c r="Q46" s="12"/>
      <c r="R46" s="12"/>
      <c r="S46" s="86" t="str">
        <f aca="false">IF(K46="Now",G46+ROW()/100000,"")</f>
        <v/>
      </c>
      <c r="T46" s="86" t="str">
        <f aca="false">IF(K46="Next",G46+ROW()/100000,"")</f>
        <v/>
      </c>
      <c r="U46" s="86" t="str">
        <f aca="false">IF(K46="Later",G46+ROW()/100000,"")</f>
        <v/>
      </c>
    </row>
    <row r="47" customFormat="false" ht="19.5" hidden="false" customHeight="true" outlineLevel="0" collapsed="false">
      <c r="A47" s="20"/>
      <c r="B47" s="20"/>
      <c r="C47" s="86" t="str">
        <f aca="false">IF(B47="","",IFERROR(INDEX('Themes &amp; Outcomes'!$B$5:$B$10,MATCH(B47,'Themes &amp; Outcomes'!$A$5:$A$10,0)),"Unknown theme"))</f>
        <v/>
      </c>
      <c r="D47" s="12"/>
      <c r="E47" s="12"/>
      <c r="F47" s="12"/>
      <c r="G47" s="21"/>
      <c r="H47" s="21"/>
      <c r="I47" s="87" t="str">
        <f aca="false">IF(OR(G47="",H47=""),"",ROUND((H47-G47+1)/7,0))</f>
        <v/>
      </c>
      <c r="J47" s="87" t="str">
        <f aca="false">IF(OR(G47="",H47=""),"","Q"&amp;INT((MONTH(G47)+2)/3)&amp;" "&amp;YEAR(G47)&amp;IF("Q"&amp;INT((MONTH(G47)+2)/3)&amp;" "&amp;YEAR(G47)="Q"&amp;INT((MONTH(H47)+2)/3)&amp;" "&amp;YEAR(H47),""," to "&amp;"Q"&amp;INT((MONTH(H47)+2)/3)&amp;" "&amp;YEAR(H47)))</f>
        <v/>
      </c>
      <c r="K47" s="88" t="str">
        <f aca="false">IF(A47="","",IF(L47="Done","Done",IF(OR(L47="In progress",G47&lt;=Cover!$C$7+120),"Now",IF(G47&lt;=Cover!$C$7+365,"Next","Later"))))</f>
        <v/>
      </c>
      <c r="L47" s="20"/>
      <c r="M47" s="20"/>
      <c r="N47" s="20"/>
      <c r="O47" s="12"/>
      <c r="P47" s="12"/>
      <c r="Q47" s="12"/>
      <c r="R47" s="12"/>
      <c r="S47" s="86" t="str">
        <f aca="false">IF(K47="Now",G47+ROW()/100000,"")</f>
        <v/>
      </c>
      <c r="T47" s="86" t="str">
        <f aca="false">IF(K47="Next",G47+ROW()/100000,"")</f>
        <v/>
      </c>
      <c r="U47" s="86" t="str">
        <f aca="false">IF(K47="Later",G47+ROW()/100000,"")</f>
        <v/>
      </c>
    </row>
    <row r="48" customFormat="false" ht="19.5" hidden="false" customHeight="true" outlineLevel="0" collapsed="false">
      <c r="A48" s="20"/>
      <c r="B48" s="20"/>
      <c r="C48" s="86" t="str">
        <f aca="false">IF(B48="","",IFERROR(INDEX('Themes &amp; Outcomes'!$B$5:$B$10,MATCH(B48,'Themes &amp; Outcomes'!$A$5:$A$10,0)),"Unknown theme"))</f>
        <v/>
      </c>
      <c r="D48" s="12"/>
      <c r="E48" s="12"/>
      <c r="F48" s="12"/>
      <c r="G48" s="21"/>
      <c r="H48" s="21"/>
      <c r="I48" s="87" t="str">
        <f aca="false">IF(OR(G48="",H48=""),"",ROUND((H48-G48+1)/7,0))</f>
        <v/>
      </c>
      <c r="J48" s="87" t="str">
        <f aca="false">IF(OR(G48="",H48=""),"","Q"&amp;INT((MONTH(G48)+2)/3)&amp;" "&amp;YEAR(G48)&amp;IF("Q"&amp;INT((MONTH(G48)+2)/3)&amp;" "&amp;YEAR(G48)="Q"&amp;INT((MONTH(H48)+2)/3)&amp;" "&amp;YEAR(H48),""," to "&amp;"Q"&amp;INT((MONTH(H48)+2)/3)&amp;" "&amp;YEAR(H48)))</f>
        <v/>
      </c>
      <c r="K48" s="88" t="str">
        <f aca="false">IF(A48="","",IF(L48="Done","Done",IF(OR(L48="In progress",G48&lt;=Cover!$C$7+120),"Now",IF(G48&lt;=Cover!$C$7+365,"Next","Later"))))</f>
        <v/>
      </c>
      <c r="L48" s="20"/>
      <c r="M48" s="20"/>
      <c r="N48" s="20"/>
      <c r="O48" s="12"/>
      <c r="P48" s="12"/>
      <c r="Q48" s="12"/>
      <c r="R48" s="12"/>
      <c r="S48" s="86" t="str">
        <f aca="false">IF(K48="Now",G48+ROW()/100000,"")</f>
        <v/>
      </c>
      <c r="T48" s="86" t="str">
        <f aca="false">IF(K48="Next",G48+ROW()/100000,"")</f>
        <v/>
      </c>
      <c r="U48" s="86" t="str">
        <f aca="false">IF(K48="Later",G48+ROW()/100000,"")</f>
        <v/>
      </c>
    </row>
    <row r="49" customFormat="false" ht="19.5" hidden="false" customHeight="true" outlineLevel="0" collapsed="false">
      <c r="A49" s="20"/>
      <c r="B49" s="20"/>
      <c r="C49" s="86" t="str">
        <f aca="false">IF(B49="","",IFERROR(INDEX('Themes &amp; Outcomes'!$B$5:$B$10,MATCH(B49,'Themes &amp; Outcomes'!$A$5:$A$10,0)),"Unknown theme"))</f>
        <v/>
      </c>
      <c r="D49" s="12"/>
      <c r="E49" s="12"/>
      <c r="F49" s="12"/>
      <c r="G49" s="21"/>
      <c r="H49" s="21"/>
      <c r="I49" s="87" t="str">
        <f aca="false">IF(OR(G49="",H49=""),"",ROUND((H49-G49+1)/7,0))</f>
        <v/>
      </c>
      <c r="J49" s="87" t="str">
        <f aca="false">IF(OR(G49="",H49=""),"","Q"&amp;INT((MONTH(G49)+2)/3)&amp;" "&amp;YEAR(G49)&amp;IF("Q"&amp;INT((MONTH(G49)+2)/3)&amp;" "&amp;YEAR(G49)="Q"&amp;INT((MONTH(H49)+2)/3)&amp;" "&amp;YEAR(H49),""," to "&amp;"Q"&amp;INT((MONTH(H49)+2)/3)&amp;" "&amp;YEAR(H49)))</f>
        <v/>
      </c>
      <c r="K49" s="88" t="str">
        <f aca="false">IF(A49="","",IF(L49="Done","Done",IF(OR(L49="In progress",G49&lt;=Cover!$C$7+120),"Now",IF(G49&lt;=Cover!$C$7+365,"Next","Later"))))</f>
        <v/>
      </c>
      <c r="L49" s="20"/>
      <c r="M49" s="20"/>
      <c r="N49" s="20"/>
      <c r="O49" s="12"/>
      <c r="P49" s="12"/>
      <c r="Q49" s="12"/>
      <c r="R49" s="12"/>
      <c r="S49" s="86" t="str">
        <f aca="false">IF(K49="Now",G49+ROW()/100000,"")</f>
        <v/>
      </c>
      <c r="T49" s="86" t="str">
        <f aca="false">IF(K49="Next",G49+ROW()/100000,"")</f>
        <v/>
      </c>
      <c r="U49" s="86" t="str">
        <f aca="false">IF(K49="Later",G49+ROW()/100000,"")</f>
        <v/>
      </c>
    </row>
    <row r="50" customFormat="false" ht="19.5" hidden="false" customHeight="true" outlineLevel="0" collapsed="false">
      <c r="A50" s="20"/>
      <c r="B50" s="20"/>
      <c r="C50" s="86" t="str">
        <f aca="false">IF(B50="","",IFERROR(INDEX('Themes &amp; Outcomes'!$B$5:$B$10,MATCH(B50,'Themes &amp; Outcomes'!$A$5:$A$10,0)),"Unknown theme"))</f>
        <v/>
      </c>
      <c r="D50" s="12"/>
      <c r="E50" s="12"/>
      <c r="F50" s="12"/>
      <c r="G50" s="21"/>
      <c r="H50" s="21"/>
      <c r="I50" s="87" t="str">
        <f aca="false">IF(OR(G50="",H50=""),"",ROUND((H50-G50+1)/7,0))</f>
        <v/>
      </c>
      <c r="J50" s="87" t="str">
        <f aca="false">IF(OR(G50="",H50=""),"","Q"&amp;INT((MONTH(G50)+2)/3)&amp;" "&amp;YEAR(G50)&amp;IF("Q"&amp;INT((MONTH(G50)+2)/3)&amp;" "&amp;YEAR(G50)="Q"&amp;INT((MONTH(H50)+2)/3)&amp;" "&amp;YEAR(H50),""," to "&amp;"Q"&amp;INT((MONTH(H50)+2)/3)&amp;" "&amp;YEAR(H50)))</f>
        <v/>
      </c>
      <c r="K50" s="88" t="str">
        <f aca="false">IF(A50="","",IF(L50="Done","Done",IF(OR(L50="In progress",G50&lt;=Cover!$C$7+120),"Now",IF(G50&lt;=Cover!$C$7+365,"Next","Later"))))</f>
        <v/>
      </c>
      <c r="L50" s="20"/>
      <c r="M50" s="20"/>
      <c r="N50" s="20"/>
      <c r="O50" s="12"/>
      <c r="P50" s="12"/>
      <c r="Q50" s="12"/>
      <c r="R50" s="12"/>
      <c r="S50" s="86" t="str">
        <f aca="false">IF(K50="Now",G50+ROW()/100000,"")</f>
        <v/>
      </c>
      <c r="T50" s="86" t="str">
        <f aca="false">IF(K50="Next",G50+ROW()/100000,"")</f>
        <v/>
      </c>
      <c r="U50" s="86" t="str">
        <f aca="false">IF(K50="Later",G50+ROW()/100000,"")</f>
        <v/>
      </c>
    </row>
    <row r="51" customFormat="false" ht="19.5" hidden="false" customHeight="true" outlineLevel="0" collapsed="false">
      <c r="A51" s="20"/>
      <c r="B51" s="20"/>
      <c r="C51" s="86" t="str">
        <f aca="false">IF(B51="","",IFERROR(INDEX('Themes &amp; Outcomes'!$B$5:$B$10,MATCH(B51,'Themes &amp; Outcomes'!$A$5:$A$10,0)),"Unknown theme"))</f>
        <v/>
      </c>
      <c r="D51" s="12"/>
      <c r="E51" s="12"/>
      <c r="F51" s="12"/>
      <c r="G51" s="21"/>
      <c r="H51" s="21"/>
      <c r="I51" s="87" t="str">
        <f aca="false">IF(OR(G51="",H51=""),"",ROUND((H51-G51+1)/7,0))</f>
        <v/>
      </c>
      <c r="J51" s="87" t="str">
        <f aca="false">IF(OR(G51="",H51=""),"","Q"&amp;INT((MONTH(G51)+2)/3)&amp;" "&amp;YEAR(G51)&amp;IF("Q"&amp;INT((MONTH(G51)+2)/3)&amp;" "&amp;YEAR(G51)="Q"&amp;INT((MONTH(H51)+2)/3)&amp;" "&amp;YEAR(H51),""," to "&amp;"Q"&amp;INT((MONTH(H51)+2)/3)&amp;" "&amp;YEAR(H51)))</f>
        <v/>
      </c>
      <c r="K51" s="88" t="str">
        <f aca="false">IF(A51="","",IF(L51="Done","Done",IF(OR(L51="In progress",G51&lt;=Cover!$C$7+120),"Now",IF(G51&lt;=Cover!$C$7+365,"Next","Later"))))</f>
        <v/>
      </c>
      <c r="L51" s="20"/>
      <c r="M51" s="20"/>
      <c r="N51" s="20"/>
      <c r="O51" s="12"/>
      <c r="P51" s="12"/>
      <c r="Q51" s="12"/>
      <c r="R51" s="12"/>
      <c r="S51" s="86" t="str">
        <f aca="false">IF(K51="Now",G51+ROW()/100000,"")</f>
        <v/>
      </c>
      <c r="T51" s="86" t="str">
        <f aca="false">IF(K51="Next",G51+ROW()/100000,"")</f>
        <v/>
      </c>
      <c r="U51" s="86" t="str">
        <f aca="false">IF(K51="Later",G51+ROW()/100000,"")</f>
        <v/>
      </c>
    </row>
    <row r="52" customFormat="false" ht="19.5" hidden="false" customHeight="true" outlineLevel="0" collapsed="false">
      <c r="A52" s="20"/>
      <c r="B52" s="20"/>
      <c r="C52" s="86" t="str">
        <f aca="false">IF(B52="","",IFERROR(INDEX('Themes &amp; Outcomes'!$B$5:$B$10,MATCH(B52,'Themes &amp; Outcomes'!$A$5:$A$10,0)),"Unknown theme"))</f>
        <v/>
      </c>
      <c r="D52" s="12"/>
      <c r="E52" s="12"/>
      <c r="F52" s="12"/>
      <c r="G52" s="21"/>
      <c r="H52" s="21"/>
      <c r="I52" s="87" t="str">
        <f aca="false">IF(OR(G52="",H52=""),"",ROUND((H52-G52+1)/7,0))</f>
        <v/>
      </c>
      <c r="J52" s="87" t="str">
        <f aca="false">IF(OR(G52="",H52=""),"","Q"&amp;INT((MONTH(G52)+2)/3)&amp;" "&amp;YEAR(G52)&amp;IF("Q"&amp;INT((MONTH(G52)+2)/3)&amp;" "&amp;YEAR(G52)="Q"&amp;INT((MONTH(H52)+2)/3)&amp;" "&amp;YEAR(H52),""," to "&amp;"Q"&amp;INT((MONTH(H52)+2)/3)&amp;" "&amp;YEAR(H52)))</f>
        <v/>
      </c>
      <c r="K52" s="88" t="str">
        <f aca="false">IF(A52="","",IF(L52="Done","Done",IF(OR(L52="In progress",G52&lt;=Cover!$C$7+120),"Now",IF(G52&lt;=Cover!$C$7+365,"Next","Later"))))</f>
        <v/>
      </c>
      <c r="L52" s="20"/>
      <c r="M52" s="20"/>
      <c r="N52" s="20"/>
      <c r="O52" s="12"/>
      <c r="P52" s="12"/>
      <c r="Q52" s="12"/>
      <c r="R52" s="12"/>
      <c r="S52" s="86" t="str">
        <f aca="false">IF(K52="Now",G52+ROW()/100000,"")</f>
        <v/>
      </c>
      <c r="T52" s="86" t="str">
        <f aca="false">IF(K52="Next",G52+ROW()/100000,"")</f>
        <v/>
      </c>
      <c r="U52" s="86" t="str">
        <f aca="false">IF(K52="Later",G52+ROW()/100000,"")</f>
        <v/>
      </c>
    </row>
    <row r="53" customFormat="false" ht="19.5" hidden="false" customHeight="true" outlineLevel="0" collapsed="false">
      <c r="A53" s="20"/>
      <c r="B53" s="20"/>
      <c r="C53" s="86" t="str">
        <f aca="false">IF(B53="","",IFERROR(INDEX('Themes &amp; Outcomes'!$B$5:$B$10,MATCH(B53,'Themes &amp; Outcomes'!$A$5:$A$10,0)),"Unknown theme"))</f>
        <v/>
      </c>
      <c r="D53" s="12"/>
      <c r="E53" s="12"/>
      <c r="F53" s="12"/>
      <c r="G53" s="21"/>
      <c r="H53" s="21"/>
      <c r="I53" s="87" t="str">
        <f aca="false">IF(OR(G53="",H53=""),"",ROUND((H53-G53+1)/7,0))</f>
        <v/>
      </c>
      <c r="J53" s="87" t="str">
        <f aca="false">IF(OR(G53="",H53=""),"","Q"&amp;INT((MONTH(G53)+2)/3)&amp;" "&amp;YEAR(G53)&amp;IF("Q"&amp;INT((MONTH(G53)+2)/3)&amp;" "&amp;YEAR(G53)="Q"&amp;INT((MONTH(H53)+2)/3)&amp;" "&amp;YEAR(H53),""," to "&amp;"Q"&amp;INT((MONTH(H53)+2)/3)&amp;" "&amp;YEAR(H53)))</f>
        <v/>
      </c>
      <c r="K53" s="88" t="str">
        <f aca="false">IF(A53="","",IF(L53="Done","Done",IF(OR(L53="In progress",G53&lt;=Cover!$C$7+120),"Now",IF(G53&lt;=Cover!$C$7+365,"Next","Later"))))</f>
        <v/>
      </c>
      <c r="L53" s="20"/>
      <c r="M53" s="20"/>
      <c r="N53" s="20"/>
      <c r="O53" s="12"/>
      <c r="P53" s="12"/>
      <c r="Q53" s="12"/>
      <c r="R53" s="12"/>
      <c r="S53" s="86" t="str">
        <f aca="false">IF(K53="Now",G53+ROW()/100000,"")</f>
        <v/>
      </c>
      <c r="T53" s="86" t="str">
        <f aca="false">IF(K53="Next",G53+ROW()/100000,"")</f>
        <v/>
      </c>
      <c r="U53" s="86" t="str">
        <f aca="false">IF(K53="Later",G53+ROW()/100000,"")</f>
        <v/>
      </c>
    </row>
    <row r="54" customFormat="false" ht="19.5" hidden="false" customHeight="true" outlineLevel="0" collapsed="false">
      <c r="A54" s="20"/>
      <c r="B54" s="20"/>
      <c r="C54" s="86" t="str">
        <f aca="false">IF(B54="","",IFERROR(INDEX('Themes &amp; Outcomes'!$B$5:$B$10,MATCH(B54,'Themes &amp; Outcomes'!$A$5:$A$10,0)),"Unknown theme"))</f>
        <v/>
      </c>
      <c r="D54" s="12"/>
      <c r="E54" s="12"/>
      <c r="F54" s="12"/>
      <c r="G54" s="21"/>
      <c r="H54" s="21"/>
      <c r="I54" s="87" t="str">
        <f aca="false">IF(OR(G54="",H54=""),"",ROUND((H54-G54+1)/7,0))</f>
        <v/>
      </c>
      <c r="J54" s="87" t="str">
        <f aca="false">IF(OR(G54="",H54=""),"","Q"&amp;INT((MONTH(G54)+2)/3)&amp;" "&amp;YEAR(G54)&amp;IF("Q"&amp;INT((MONTH(G54)+2)/3)&amp;" "&amp;YEAR(G54)="Q"&amp;INT((MONTH(H54)+2)/3)&amp;" "&amp;YEAR(H54),""," to "&amp;"Q"&amp;INT((MONTH(H54)+2)/3)&amp;" "&amp;YEAR(H54)))</f>
        <v/>
      </c>
      <c r="K54" s="88" t="str">
        <f aca="false">IF(A54="","",IF(L54="Done","Done",IF(OR(L54="In progress",G54&lt;=Cover!$C$7+120),"Now",IF(G54&lt;=Cover!$C$7+365,"Next","Later"))))</f>
        <v/>
      </c>
      <c r="L54" s="20"/>
      <c r="M54" s="20"/>
      <c r="N54" s="20"/>
      <c r="O54" s="12"/>
      <c r="P54" s="12"/>
      <c r="Q54" s="12"/>
      <c r="R54" s="12"/>
      <c r="S54" s="86" t="str">
        <f aca="false">IF(K54="Now",G54+ROW()/100000,"")</f>
        <v/>
      </c>
      <c r="T54" s="86" t="str">
        <f aca="false">IF(K54="Next",G54+ROW()/100000,"")</f>
        <v/>
      </c>
      <c r="U54" s="86" t="str">
        <f aca="false">IF(K54="Later",G54+ROW()/100000,"")</f>
        <v/>
      </c>
    </row>
    <row r="55" customFormat="false" ht="19.5" hidden="false" customHeight="true" outlineLevel="0" collapsed="false">
      <c r="A55" s="20"/>
      <c r="B55" s="20"/>
      <c r="C55" s="86" t="str">
        <f aca="false">IF(B55="","",IFERROR(INDEX('Themes &amp; Outcomes'!$B$5:$B$10,MATCH(B55,'Themes &amp; Outcomes'!$A$5:$A$10,0)),"Unknown theme"))</f>
        <v/>
      </c>
      <c r="D55" s="12"/>
      <c r="E55" s="12"/>
      <c r="F55" s="12"/>
      <c r="G55" s="21"/>
      <c r="H55" s="21"/>
      <c r="I55" s="87" t="str">
        <f aca="false">IF(OR(G55="",H55=""),"",ROUND((H55-G55+1)/7,0))</f>
        <v/>
      </c>
      <c r="J55" s="87" t="str">
        <f aca="false">IF(OR(G55="",H55=""),"","Q"&amp;INT((MONTH(G55)+2)/3)&amp;" "&amp;YEAR(G55)&amp;IF("Q"&amp;INT((MONTH(G55)+2)/3)&amp;" "&amp;YEAR(G55)="Q"&amp;INT((MONTH(H55)+2)/3)&amp;" "&amp;YEAR(H55),""," to "&amp;"Q"&amp;INT((MONTH(H55)+2)/3)&amp;" "&amp;YEAR(H55)))</f>
        <v/>
      </c>
      <c r="K55" s="88" t="str">
        <f aca="false">IF(A55="","",IF(L55="Done","Done",IF(OR(L55="In progress",G55&lt;=Cover!$C$7+120),"Now",IF(G55&lt;=Cover!$C$7+365,"Next","Later"))))</f>
        <v/>
      </c>
      <c r="L55" s="20"/>
      <c r="M55" s="20"/>
      <c r="N55" s="20"/>
      <c r="O55" s="12"/>
      <c r="P55" s="12"/>
      <c r="Q55" s="12"/>
      <c r="R55" s="12"/>
      <c r="S55" s="86" t="str">
        <f aca="false">IF(K55="Now",G55+ROW()/100000,"")</f>
        <v/>
      </c>
      <c r="T55" s="86" t="str">
        <f aca="false">IF(K55="Next",G55+ROW()/100000,"")</f>
        <v/>
      </c>
      <c r="U55" s="86" t="str">
        <f aca="false">IF(K55="Later",G55+ROW()/100000,"")</f>
        <v/>
      </c>
    </row>
    <row r="56" customFormat="false" ht="19.5" hidden="false" customHeight="true" outlineLevel="0" collapsed="false">
      <c r="A56" s="20"/>
      <c r="B56" s="20"/>
      <c r="C56" s="86" t="str">
        <f aca="false">IF(B56="","",IFERROR(INDEX('Themes &amp; Outcomes'!$B$5:$B$10,MATCH(B56,'Themes &amp; Outcomes'!$A$5:$A$10,0)),"Unknown theme"))</f>
        <v/>
      </c>
      <c r="D56" s="12"/>
      <c r="E56" s="12"/>
      <c r="F56" s="12"/>
      <c r="G56" s="21"/>
      <c r="H56" s="21"/>
      <c r="I56" s="87" t="str">
        <f aca="false">IF(OR(G56="",H56=""),"",ROUND((H56-G56+1)/7,0))</f>
        <v/>
      </c>
      <c r="J56" s="87" t="str">
        <f aca="false">IF(OR(G56="",H56=""),"","Q"&amp;INT((MONTH(G56)+2)/3)&amp;" "&amp;YEAR(G56)&amp;IF("Q"&amp;INT((MONTH(G56)+2)/3)&amp;" "&amp;YEAR(G56)="Q"&amp;INT((MONTH(H56)+2)/3)&amp;" "&amp;YEAR(H56),""," to "&amp;"Q"&amp;INT((MONTH(H56)+2)/3)&amp;" "&amp;YEAR(H56)))</f>
        <v/>
      </c>
      <c r="K56" s="88" t="str">
        <f aca="false">IF(A56="","",IF(L56="Done","Done",IF(OR(L56="In progress",G56&lt;=Cover!$C$7+120),"Now",IF(G56&lt;=Cover!$C$7+365,"Next","Later"))))</f>
        <v/>
      </c>
      <c r="L56" s="20"/>
      <c r="M56" s="20"/>
      <c r="N56" s="20"/>
      <c r="O56" s="12"/>
      <c r="P56" s="12"/>
      <c r="Q56" s="12"/>
      <c r="R56" s="12"/>
      <c r="S56" s="86" t="str">
        <f aca="false">IF(K56="Now",G56+ROW()/100000,"")</f>
        <v/>
      </c>
      <c r="T56" s="86" t="str">
        <f aca="false">IF(K56="Next",G56+ROW()/100000,"")</f>
        <v/>
      </c>
      <c r="U56" s="86" t="str">
        <f aca="false">IF(K56="Later",G56+ROW()/100000,"")</f>
        <v/>
      </c>
    </row>
    <row r="57" customFormat="false" ht="19.5" hidden="false" customHeight="true" outlineLevel="0" collapsed="false">
      <c r="A57" s="20"/>
      <c r="B57" s="20"/>
      <c r="C57" s="86" t="str">
        <f aca="false">IF(B57="","",IFERROR(INDEX('Themes &amp; Outcomes'!$B$5:$B$10,MATCH(B57,'Themes &amp; Outcomes'!$A$5:$A$10,0)),"Unknown theme"))</f>
        <v/>
      </c>
      <c r="D57" s="12"/>
      <c r="E57" s="12"/>
      <c r="F57" s="12"/>
      <c r="G57" s="21"/>
      <c r="H57" s="21"/>
      <c r="I57" s="87" t="str">
        <f aca="false">IF(OR(G57="",H57=""),"",ROUND((H57-G57+1)/7,0))</f>
        <v/>
      </c>
      <c r="J57" s="87" t="str">
        <f aca="false">IF(OR(G57="",H57=""),"","Q"&amp;INT((MONTH(G57)+2)/3)&amp;" "&amp;YEAR(G57)&amp;IF("Q"&amp;INT((MONTH(G57)+2)/3)&amp;" "&amp;YEAR(G57)="Q"&amp;INT((MONTH(H57)+2)/3)&amp;" "&amp;YEAR(H57),""," to "&amp;"Q"&amp;INT((MONTH(H57)+2)/3)&amp;" "&amp;YEAR(H57)))</f>
        <v/>
      </c>
      <c r="K57" s="88" t="str">
        <f aca="false">IF(A57="","",IF(L57="Done","Done",IF(OR(L57="In progress",G57&lt;=Cover!$C$7+120),"Now",IF(G57&lt;=Cover!$C$7+365,"Next","Later"))))</f>
        <v/>
      </c>
      <c r="L57" s="20"/>
      <c r="M57" s="20"/>
      <c r="N57" s="20"/>
      <c r="O57" s="12"/>
      <c r="P57" s="12"/>
      <c r="Q57" s="12"/>
      <c r="R57" s="12"/>
      <c r="S57" s="86" t="str">
        <f aca="false">IF(K57="Now",G57+ROW()/100000,"")</f>
        <v/>
      </c>
      <c r="T57" s="86" t="str">
        <f aca="false">IF(K57="Next",G57+ROW()/100000,"")</f>
        <v/>
      </c>
      <c r="U57" s="86" t="str">
        <f aca="false">IF(K57="Later",G57+ROW()/100000,"")</f>
        <v/>
      </c>
    </row>
    <row r="58" customFormat="false" ht="19.5" hidden="false" customHeight="true" outlineLevel="0" collapsed="false">
      <c r="A58" s="20"/>
      <c r="B58" s="20"/>
      <c r="C58" s="86" t="str">
        <f aca="false">IF(B58="","",IFERROR(INDEX('Themes &amp; Outcomes'!$B$5:$B$10,MATCH(B58,'Themes &amp; Outcomes'!$A$5:$A$10,0)),"Unknown theme"))</f>
        <v/>
      </c>
      <c r="D58" s="12"/>
      <c r="E58" s="12"/>
      <c r="F58" s="12"/>
      <c r="G58" s="21"/>
      <c r="H58" s="21"/>
      <c r="I58" s="87" t="str">
        <f aca="false">IF(OR(G58="",H58=""),"",ROUND((H58-G58+1)/7,0))</f>
        <v/>
      </c>
      <c r="J58" s="87" t="str">
        <f aca="false">IF(OR(G58="",H58=""),"","Q"&amp;INT((MONTH(G58)+2)/3)&amp;" "&amp;YEAR(G58)&amp;IF("Q"&amp;INT((MONTH(G58)+2)/3)&amp;" "&amp;YEAR(G58)="Q"&amp;INT((MONTH(H58)+2)/3)&amp;" "&amp;YEAR(H58),""," to "&amp;"Q"&amp;INT((MONTH(H58)+2)/3)&amp;" "&amp;YEAR(H58)))</f>
        <v/>
      </c>
      <c r="K58" s="88" t="str">
        <f aca="false">IF(A58="","",IF(L58="Done","Done",IF(OR(L58="In progress",G58&lt;=Cover!$C$7+120),"Now",IF(G58&lt;=Cover!$C$7+365,"Next","Later"))))</f>
        <v/>
      </c>
      <c r="L58" s="20"/>
      <c r="M58" s="20"/>
      <c r="N58" s="20"/>
      <c r="O58" s="12"/>
      <c r="P58" s="12"/>
      <c r="Q58" s="12"/>
      <c r="R58" s="12"/>
      <c r="S58" s="86" t="str">
        <f aca="false">IF(K58="Now",G58+ROW()/100000,"")</f>
        <v/>
      </c>
      <c r="T58" s="86" t="str">
        <f aca="false">IF(K58="Next",G58+ROW()/100000,"")</f>
        <v/>
      </c>
      <c r="U58" s="86" t="str">
        <f aca="false">IF(K58="Later",G58+ROW()/100000,"")</f>
        <v/>
      </c>
    </row>
    <row r="59" customFormat="false" ht="19.5" hidden="false" customHeight="true" outlineLevel="0" collapsed="false">
      <c r="A59" s="20"/>
      <c r="B59" s="20"/>
      <c r="C59" s="86" t="str">
        <f aca="false">IF(B59="","",IFERROR(INDEX('Themes &amp; Outcomes'!$B$5:$B$10,MATCH(B59,'Themes &amp; Outcomes'!$A$5:$A$10,0)),"Unknown theme"))</f>
        <v/>
      </c>
      <c r="D59" s="12"/>
      <c r="E59" s="12"/>
      <c r="F59" s="12"/>
      <c r="G59" s="21"/>
      <c r="H59" s="21"/>
      <c r="I59" s="87" t="str">
        <f aca="false">IF(OR(G59="",H59=""),"",ROUND((H59-G59+1)/7,0))</f>
        <v/>
      </c>
      <c r="J59" s="87" t="str">
        <f aca="false">IF(OR(G59="",H59=""),"","Q"&amp;INT((MONTH(G59)+2)/3)&amp;" "&amp;YEAR(G59)&amp;IF("Q"&amp;INT((MONTH(G59)+2)/3)&amp;" "&amp;YEAR(G59)="Q"&amp;INT((MONTH(H59)+2)/3)&amp;" "&amp;YEAR(H59),""," to "&amp;"Q"&amp;INT((MONTH(H59)+2)/3)&amp;" "&amp;YEAR(H59)))</f>
        <v/>
      </c>
      <c r="K59" s="88" t="str">
        <f aca="false">IF(A59="","",IF(L59="Done","Done",IF(OR(L59="In progress",G59&lt;=Cover!$C$7+120),"Now",IF(G59&lt;=Cover!$C$7+365,"Next","Later"))))</f>
        <v/>
      </c>
      <c r="L59" s="20"/>
      <c r="M59" s="20"/>
      <c r="N59" s="20"/>
      <c r="O59" s="12"/>
      <c r="P59" s="12"/>
      <c r="Q59" s="12"/>
      <c r="R59" s="12"/>
      <c r="S59" s="86" t="str">
        <f aca="false">IF(K59="Now",G59+ROW()/100000,"")</f>
        <v/>
      </c>
      <c r="T59" s="86" t="str">
        <f aca="false">IF(K59="Next",G59+ROW()/100000,"")</f>
        <v/>
      </c>
      <c r="U59" s="86" t="str">
        <f aca="false">IF(K59="Later",G59+ROW()/100000,"")</f>
        <v/>
      </c>
    </row>
    <row r="60" customFormat="false" ht="19.5" hidden="false" customHeight="true" outlineLevel="0" collapsed="false">
      <c r="A60" s="20"/>
      <c r="B60" s="20"/>
      <c r="C60" s="86" t="str">
        <f aca="false">IF(B60="","",IFERROR(INDEX('Themes &amp; Outcomes'!$B$5:$B$10,MATCH(B60,'Themes &amp; Outcomes'!$A$5:$A$10,0)),"Unknown theme"))</f>
        <v/>
      </c>
      <c r="D60" s="12"/>
      <c r="E60" s="12"/>
      <c r="F60" s="12"/>
      <c r="G60" s="21"/>
      <c r="H60" s="21"/>
      <c r="I60" s="87" t="str">
        <f aca="false">IF(OR(G60="",H60=""),"",ROUND((H60-G60+1)/7,0))</f>
        <v/>
      </c>
      <c r="J60" s="87" t="str">
        <f aca="false">IF(OR(G60="",H60=""),"","Q"&amp;INT((MONTH(G60)+2)/3)&amp;" "&amp;YEAR(G60)&amp;IF("Q"&amp;INT((MONTH(G60)+2)/3)&amp;" "&amp;YEAR(G60)="Q"&amp;INT((MONTH(H60)+2)/3)&amp;" "&amp;YEAR(H60),""," to "&amp;"Q"&amp;INT((MONTH(H60)+2)/3)&amp;" "&amp;YEAR(H60)))</f>
        <v/>
      </c>
      <c r="K60" s="88" t="str">
        <f aca="false">IF(A60="","",IF(L60="Done","Done",IF(OR(L60="In progress",G60&lt;=Cover!$C$7+120),"Now",IF(G60&lt;=Cover!$C$7+365,"Next","Later"))))</f>
        <v/>
      </c>
      <c r="L60" s="20"/>
      <c r="M60" s="20"/>
      <c r="N60" s="20"/>
      <c r="O60" s="12"/>
      <c r="P60" s="12"/>
      <c r="Q60" s="12"/>
      <c r="R60" s="12"/>
      <c r="S60" s="86" t="str">
        <f aca="false">IF(K60="Now",G60+ROW()/100000,"")</f>
        <v/>
      </c>
      <c r="T60" s="86" t="str">
        <f aca="false">IF(K60="Next",G60+ROW()/100000,"")</f>
        <v/>
      </c>
      <c r="U60" s="86" t="str">
        <f aca="false">IF(K60="Later",G60+ROW()/100000,"")</f>
        <v/>
      </c>
    </row>
  </sheetData>
  <autoFilter ref="A4:R34"/>
  <conditionalFormatting sqref="L5:L60">
    <cfRule type="cellIs" priority="2" operator="equal" aboveAverage="0" equalAverage="0" bottom="0" percent="0" rank="0" text="" dxfId="12">
      <formula>"Done"</formula>
    </cfRule>
    <cfRule type="cellIs" priority="3" operator="equal" aboveAverage="0" equalAverage="0" bottom="0" percent="0" rank="0" text="" dxfId="13">
      <formula>"In progress"</formula>
    </cfRule>
    <cfRule type="cellIs" priority="4" operator="equal" aboveAverage="0" equalAverage="0" bottom="0" percent="0" rank="0" text="" dxfId="14">
      <formula>"Committed"</formula>
    </cfRule>
    <cfRule type="cellIs" priority="5" operator="equal" aboveAverage="0" equalAverage="0" bottom="0" percent="0" rank="0" text="" dxfId="15">
      <formula>"Planned"</formula>
    </cfRule>
    <cfRule type="cellIs" priority="6" operator="equal" aboveAverage="0" equalAverage="0" bottom="0" percent="0" rank="0" text="" dxfId="0">
      <formula>"Exploring"</formula>
    </cfRule>
    <cfRule type="cellIs" priority="7" operator="equal" aboveAverage="0" equalAverage="0" bottom="0" percent="0" rank="0" text="" dxfId="16">
      <formula>"Idea"</formula>
    </cfRule>
    <cfRule type="cellIs" priority="8" operator="equal" aboveAverage="0" equalAverage="0" bottom="0" percent="0" rank="0" text="" dxfId="17">
      <formula>"Pending decision"</formula>
    </cfRule>
  </conditionalFormatting>
  <conditionalFormatting sqref="K5:K60">
    <cfRule type="cellIs" priority="9" operator="equal" aboveAverage="0" equalAverage="0" bottom="0" percent="0" rank="0" text="" dxfId="3">
      <formula>"Now"</formula>
    </cfRule>
    <cfRule type="cellIs" priority="10" operator="equal" aboveAverage="0" equalAverage="0" bottom="0" percent="0" rank="0" text="" dxfId="1">
      <formula>"Next"</formula>
    </cfRule>
    <cfRule type="cellIs" priority="11" operator="equal" aboveAverage="0" equalAverage="0" bottom="0" percent="0" rank="0" text="" dxfId="40">
      <formula>"Later"</formula>
    </cfRule>
    <cfRule type="cellIs" priority="12" operator="equal" aboveAverage="0" equalAverage="0" bottom="0" percent="0" rank="0" text="" dxfId="2">
      <formula>"Done"</formula>
    </cfRule>
  </conditionalFormatting>
  <conditionalFormatting sqref="M5:M60">
    <cfRule type="cellIs" priority="13" operator="equal" aboveAverage="0" equalAverage="0" bottom="0" percent="0" rank="0" text="" dxfId="2">
      <formula>"High"</formula>
    </cfRule>
    <cfRule type="cellIs" priority="14" operator="equal" aboveAverage="0" equalAverage="0" bottom="0" percent="0" rank="0" text="" dxfId="1">
      <formula>"Medium"</formula>
    </cfRule>
    <cfRule type="cellIs" priority="15" operator="equal" aboveAverage="0" equalAverage="0" bottom="0" percent="0" rank="0" text="" dxfId="3">
      <formula>"Low"</formula>
    </cfRule>
  </conditionalFormatting>
  <conditionalFormatting sqref="H5:H60">
    <cfRule type="expression" priority="16" aboveAverage="0" equalAverage="0" bottom="0" percent="0" rank="0" text="" dxfId="3">
      <formula>AND(H5&lt;&gt;"",G5&lt;&gt;"",H5&lt;G5)</formula>
    </cfRule>
  </conditionalFormatting>
  <dataValidations count="4">
    <dataValidation allowBlank="true" errorStyle="stop" operator="between" showDropDown="false" showErrorMessage="false" showInputMessage="false" sqref="B5:B60" type="list">
      <formula1>"T1,T2,T3,T4,T5,T6"</formula1>
      <formula2>0</formula2>
    </dataValidation>
    <dataValidation allowBlank="true" errorStyle="stop" operator="between" showDropDown="false" showErrorMessage="false" showInputMessage="false" sqref="L5:L60" type="list">
      <formula1>"Done,In progress,Committed,Planned,Exploring,Idea,Pending decision"</formula1>
      <formula2>0</formula2>
    </dataValidation>
    <dataValidation allowBlank="true" errorStyle="stop" operator="between" showDropDown="false" showErrorMessage="false" showInputMessage="false" sqref="M5:M60" type="list">
      <formula1>"High,Medium,Low"</formula1>
      <formula2>0</formula2>
    </dataValidation>
    <dataValidation allowBlank="true" errorStyle="stop" operator="between" showDropDown="false" showErrorMessage="false" showInputMessage="false" sqref="N5:N60" type="list">
      <formula1>"S,M,L,XL"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7"/>
    <col collapsed="false" customWidth="true" hidden="false" outlineLevel="0" max="2" min="2" style="0" width="40"/>
    <col collapsed="false" customWidth="true" hidden="false" outlineLevel="0" max="4" min="3" style="0" width="12"/>
    <col collapsed="false" customWidth="true" hidden="false" outlineLevel="0" max="5" min="5" style="0" width="20"/>
    <col collapsed="false" customWidth="true" hidden="false" outlineLevel="0" max="6" min="6" style="0" width="18"/>
    <col collapsed="false" customWidth="true" hidden="false" outlineLevel="0" max="7" min="7" style="0" width="10"/>
    <col collapsed="false" customWidth="true" hidden="false" outlineLevel="0" max="8" min="8" style="0" width="11"/>
    <col collapsed="false" customWidth="true" hidden="true" outlineLevel="0" max="9" min="9" style="0" width="4"/>
  </cols>
  <sheetData>
    <row r="1" customFormat="false" ht="19.7" hidden="false" customHeight="false" outlineLevel="0" collapsed="false">
      <c r="A1" s="31" t="s">
        <v>345</v>
      </c>
    </row>
    <row r="2" customFormat="false" ht="15" hidden="false" customHeight="false" outlineLevel="0" collapsed="false">
      <c r="A2" s="23" t="s">
        <v>346</v>
      </c>
    </row>
    <row r="4" customFormat="false" ht="31.5" hidden="false" customHeight="true" outlineLevel="0" collapsed="false">
      <c r="A4" s="43" t="s">
        <v>100</v>
      </c>
      <c r="B4" s="43" t="s">
        <v>72</v>
      </c>
      <c r="C4" s="43" t="s">
        <v>53</v>
      </c>
      <c r="D4" s="43" t="s">
        <v>73</v>
      </c>
      <c r="E4" s="43" t="s">
        <v>70</v>
      </c>
      <c r="F4" s="43" t="s">
        <v>184</v>
      </c>
      <c r="G4" s="77" t="s">
        <v>347</v>
      </c>
      <c r="H4" s="77" t="s">
        <v>348</v>
      </c>
      <c r="I4" s="77" t="s">
        <v>349</v>
      </c>
    </row>
    <row r="5" customFormat="false" ht="24" hidden="false" customHeight="true" outlineLevel="0" collapsed="false">
      <c r="A5" s="48" t="s">
        <v>350</v>
      </c>
      <c r="B5" s="11" t="s">
        <v>351</v>
      </c>
      <c r="C5" s="21" t="n">
        <v>46283</v>
      </c>
      <c r="D5" s="20" t="s">
        <v>352</v>
      </c>
      <c r="E5" s="12" t="s">
        <v>174</v>
      </c>
      <c r="F5" s="12" t="s">
        <v>353</v>
      </c>
      <c r="G5" s="87" t="n">
        <f aca="false">IF(C5="","",C5-Cover!$C$7)</f>
        <v>7</v>
      </c>
      <c r="H5" s="88" t="str">
        <f aca="false">IF(C5="","",IF(C5&lt;Cover!$C$7,"Passed","Upcoming"))</f>
        <v>Upcoming</v>
      </c>
      <c r="I5" s="89" t="n">
        <f aca="false">IF(AND(C5&lt;&gt;"",N(G5)&gt;=0),C5+ROW()/100000,"")</f>
        <v>46283.00005</v>
      </c>
    </row>
    <row r="6" customFormat="false" ht="24" hidden="false" customHeight="true" outlineLevel="0" collapsed="false">
      <c r="A6" s="48" t="s">
        <v>354</v>
      </c>
      <c r="B6" s="11" t="s">
        <v>355</v>
      </c>
      <c r="C6" s="21" t="n">
        <v>46289</v>
      </c>
      <c r="D6" s="20" t="s">
        <v>352</v>
      </c>
      <c r="E6" s="12" t="s">
        <v>356</v>
      </c>
      <c r="F6" s="12" t="s">
        <v>357</v>
      </c>
      <c r="G6" s="87" t="n">
        <f aca="false">IF(C6="","",C6-Cover!$C$7)</f>
        <v>13</v>
      </c>
      <c r="H6" s="88" t="str">
        <f aca="false">IF(C6="","",IF(C6&lt;Cover!$C$7,"Passed","Upcoming"))</f>
        <v>Upcoming</v>
      </c>
      <c r="I6" s="89" t="n">
        <f aca="false">IF(AND(C6&lt;&gt;"",N(G6)&gt;=0),C6+ROW()/100000,"")</f>
        <v>46289.00006</v>
      </c>
    </row>
    <row r="7" customFormat="false" ht="24" hidden="false" customHeight="true" outlineLevel="0" collapsed="false">
      <c r="A7" s="48" t="s">
        <v>358</v>
      </c>
      <c r="B7" s="11" t="s">
        <v>359</v>
      </c>
      <c r="C7" s="21" t="n">
        <v>46339</v>
      </c>
      <c r="D7" s="20" t="s">
        <v>360</v>
      </c>
      <c r="E7" s="12" t="s">
        <v>361</v>
      </c>
      <c r="F7" s="12" t="s">
        <v>362</v>
      </c>
      <c r="G7" s="87" t="n">
        <f aca="false">IF(C7="","",C7-Cover!$C$7)</f>
        <v>63</v>
      </c>
      <c r="H7" s="88" t="str">
        <f aca="false">IF(C7="","",IF(C7&lt;Cover!$C$7,"Passed","Upcoming"))</f>
        <v>Upcoming</v>
      </c>
      <c r="I7" s="89" t="n">
        <f aca="false">IF(AND(C7&lt;&gt;"",N(G7)&gt;=0),C7+ROW()/100000,"")</f>
        <v>46339.00007</v>
      </c>
    </row>
    <row r="8" customFormat="false" ht="24" hidden="false" customHeight="true" outlineLevel="0" collapsed="false">
      <c r="A8" s="48" t="s">
        <v>363</v>
      </c>
      <c r="B8" s="11" t="s">
        <v>364</v>
      </c>
      <c r="C8" s="21" t="n">
        <v>46360</v>
      </c>
      <c r="D8" s="20" t="s">
        <v>365</v>
      </c>
      <c r="E8" s="12" t="s">
        <v>356</v>
      </c>
      <c r="F8" s="12" t="s">
        <v>366</v>
      </c>
      <c r="G8" s="87" t="n">
        <f aca="false">IF(C8="","",C8-Cover!$C$7)</f>
        <v>84</v>
      </c>
      <c r="H8" s="88" t="str">
        <f aca="false">IF(C8="","",IF(C8&lt;Cover!$C$7,"Passed","Upcoming"))</f>
        <v>Upcoming</v>
      </c>
      <c r="I8" s="89" t="n">
        <f aca="false">IF(AND(C8&lt;&gt;"",N(G8)&gt;=0),C8+ROW()/100000,"")</f>
        <v>46360.00008</v>
      </c>
    </row>
    <row r="9" customFormat="false" ht="24" hidden="false" customHeight="true" outlineLevel="0" collapsed="false">
      <c r="A9" s="48" t="s">
        <v>367</v>
      </c>
      <c r="B9" s="11" t="s">
        <v>368</v>
      </c>
      <c r="C9" s="21" t="n">
        <v>46367</v>
      </c>
      <c r="D9" s="20" t="s">
        <v>369</v>
      </c>
      <c r="E9" s="12" t="s">
        <v>160</v>
      </c>
      <c r="F9" s="12" t="s">
        <v>108</v>
      </c>
      <c r="G9" s="87" t="n">
        <f aca="false">IF(C9="","",C9-Cover!$C$7)</f>
        <v>91</v>
      </c>
      <c r="H9" s="88" t="str">
        <f aca="false">IF(C9="","",IF(C9&lt;Cover!$C$7,"Passed","Upcoming"))</f>
        <v>Upcoming</v>
      </c>
      <c r="I9" s="89" t="n">
        <f aca="false">IF(AND(C9&lt;&gt;"",N(G9)&gt;=0),C9+ROW()/100000,"")</f>
        <v>46367.00009</v>
      </c>
    </row>
    <row r="10" customFormat="false" ht="24" hidden="false" customHeight="true" outlineLevel="0" collapsed="false">
      <c r="A10" s="48" t="s">
        <v>370</v>
      </c>
      <c r="B10" s="11" t="s">
        <v>371</v>
      </c>
      <c r="C10" s="21" t="n">
        <v>46409</v>
      </c>
      <c r="D10" s="20" t="s">
        <v>365</v>
      </c>
      <c r="E10" s="12" t="s">
        <v>194</v>
      </c>
      <c r="F10" s="12" t="s">
        <v>372</v>
      </c>
      <c r="G10" s="87" t="n">
        <f aca="false">IF(C10="","",C10-Cover!$C$7)</f>
        <v>133</v>
      </c>
      <c r="H10" s="88" t="str">
        <f aca="false">IF(C10="","",IF(C10&lt;Cover!$C$7,"Passed","Upcoming"))</f>
        <v>Upcoming</v>
      </c>
      <c r="I10" s="89" t="n">
        <f aca="false">IF(AND(C10&lt;&gt;"",N(G10)&gt;=0),C10+ROW()/100000,"")</f>
        <v>46409.0001</v>
      </c>
    </row>
    <row r="11" customFormat="false" ht="24" hidden="false" customHeight="true" outlineLevel="0" collapsed="false">
      <c r="A11" s="48" t="s">
        <v>373</v>
      </c>
      <c r="B11" s="11" t="s">
        <v>374</v>
      </c>
      <c r="C11" s="21" t="n">
        <v>46457</v>
      </c>
      <c r="D11" s="20" t="s">
        <v>365</v>
      </c>
      <c r="E11" s="12" t="s">
        <v>356</v>
      </c>
      <c r="F11" s="12" t="s">
        <v>375</v>
      </c>
      <c r="G11" s="87" t="n">
        <f aca="false">IF(C11="","",C11-Cover!$C$7)</f>
        <v>181</v>
      </c>
      <c r="H11" s="88" t="str">
        <f aca="false">IF(C11="","",IF(C11&lt;Cover!$C$7,"Passed","Upcoming"))</f>
        <v>Upcoming</v>
      </c>
      <c r="I11" s="89" t="n">
        <f aca="false">IF(AND(C11&lt;&gt;"",N(G11)&gt;=0),C11+ROW()/100000,"")</f>
        <v>46457.00011</v>
      </c>
    </row>
    <row r="12" customFormat="false" ht="24" hidden="false" customHeight="true" outlineLevel="0" collapsed="false">
      <c r="A12" s="48" t="s">
        <v>376</v>
      </c>
      <c r="B12" s="11" t="s">
        <v>377</v>
      </c>
      <c r="C12" s="21" t="n">
        <v>46492</v>
      </c>
      <c r="D12" s="20" t="s">
        <v>378</v>
      </c>
      <c r="E12" s="12" t="s">
        <v>174</v>
      </c>
      <c r="F12" s="12" t="s">
        <v>379</v>
      </c>
      <c r="G12" s="87" t="n">
        <f aca="false">IF(C12="","",C12-Cover!$C$7)</f>
        <v>216</v>
      </c>
      <c r="H12" s="88" t="str">
        <f aca="false">IF(C12="","",IF(C12&lt;Cover!$C$7,"Passed","Upcoming"))</f>
        <v>Upcoming</v>
      </c>
      <c r="I12" s="89" t="n">
        <f aca="false">IF(AND(C12&lt;&gt;"",N(G12)&gt;=0),C12+ROW()/100000,"")</f>
        <v>46492.00012</v>
      </c>
    </row>
    <row r="13" customFormat="false" ht="24" hidden="false" customHeight="true" outlineLevel="0" collapsed="false">
      <c r="A13" s="48" t="s">
        <v>380</v>
      </c>
      <c r="B13" s="11" t="s">
        <v>278</v>
      </c>
      <c r="C13" s="21" t="n">
        <v>46534</v>
      </c>
      <c r="D13" s="20" t="s">
        <v>352</v>
      </c>
      <c r="E13" s="12" t="s">
        <v>356</v>
      </c>
      <c r="F13" s="12" t="s">
        <v>381</v>
      </c>
      <c r="G13" s="87" t="n">
        <f aca="false">IF(C13="","",C13-Cover!$C$7)</f>
        <v>258</v>
      </c>
      <c r="H13" s="88" t="str">
        <f aca="false">IF(C13="","",IF(C13&lt;Cover!$C$7,"Passed","Upcoming"))</f>
        <v>Upcoming</v>
      </c>
      <c r="I13" s="89" t="n">
        <f aca="false">IF(AND(C13&lt;&gt;"",N(G13)&gt;=0),C13+ROW()/100000,"")</f>
        <v>46534.00013</v>
      </c>
    </row>
    <row r="14" customFormat="false" ht="24" hidden="false" customHeight="true" outlineLevel="0" collapsed="false">
      <c r="A14" s="48" t="s">
        <v>382</v>
      </c>
      <c r="B14" s="11" t="s">
        <v>383</v>
      </c>
      <c r="C14" s="21" t="n">
        <v>46541</v>
      </c>
      <c r="D14" s="20" t="s">
        <v>365</v>
      </c>
      <c r="E14" s="12" t="s">
        <v>356</v>
      </c>
      <c r="F14" s="12" t="s">
        <v>384</v>
      </c>
      <c r="G14" s="87" t="n">
        <f aca="false">IF(C14="","",C14-Cover!$C$7)</f>
        <v>265</v>
      </c>
      <c r="H14" s="88" t="str">
        <f aca="false">IF(C14="","",IF(C14&lt;Cover!$C$7,"Passed","Upcoming"))</f>
        <v>Upcoming</v>
      </c>
      <c r="I14" s="89" t="n">
        <f aca="false">IF(AND(C14&lt;&gt;"",N(G14)&gt;=0),C14+ROW()/100000,"")</f>
        <v>46541.00014</v>
      </c>
    </row>
    <row r="15" customFormat="false" ht="24" hidden="false" customHeight="true" outlineLevel="0" collapsed="false">
      <c r="A15" s="48" t="s">
        <v>385</v>
      </c>
      <c r="B15" s="11" t="s">
        <v>386</v>
      </c>
      <c r="C15" s="21" t="n">
        <v>46555</v>
      </c>
      <c r="D15" s="20" t="s">
        <v>352</v>
      </c>
      <c r="E15" s="12" t="s">
        <v>171</v>
      </c>
      <c r="F15" s="12" t="s">
        <v>387</v>
      </c>
      <c r="G15" s="87" t="n">
        <f aca="false">IF(C15="","",C15-Cover!$C$7)</f>
        <v>279</v>
      </c>
      <c r="H15" s="88" t="str">
        <f aca="false">IF(C15="","",IF(C15&lt;Cover!$C$7,"Passed","Upcoming"))</f>
        <v>Upcoming</v>
      </c>
      <c r="I15" s="89" t="n">
        <f aca="false">IF(AND(C15&lt;&gt;"",N(G15)&gt;=0),C15+ROW()/100000,"")</f>
        <v>46555.00015</v>
      </c>
    </row>
    <row r="16" customFormat="false" ht="24" hidden="false" customHeight="true" outlineLevel="0" collapsed="false">
      <c r="A16" s="48" t="s">
        <v>388</v>
      </c>
      <c r="B16" s="11" t="s">
        <v>389</v>
      </c>
      <c r="C16" s="21" t="n">
        <v>46660</v>
      </c>
      <c r="D16" s="20" t="s">
        <v>365</v>
      </c>
      <c r="E16" s="12" t="s">
        <v>356</v>
      </c>
      <c r="F16" s="12" t="s">
        <v>390</v>
      </c>
      <c r="G16" s="87" t="n">
        <f aca="false">IF(C16="","",C16-Cover!$C$7)</f>
        <v>384</v>
      </c>
      <c r="H16" s="88" t="str">
        <f aca="false">IF(C16="","",IF(C16&lt;Cover!$C$7,"Passed","Upcoming"))</f>
        <v>Upcoming</v>
      </c>
      <c r="I16" s="89" t="n">
        <f aca="false">IF(AND(C16&lt;&gt;"",N(G16)&gt;=0),C16+ROW()/100000,"")</f>
        <v>46660.00016</v>
      </c>
    </row>
    <row r="17" customFormat="false" ht="24" hidden="false" customHeight="true" outlineLevel="0" collapsed="false">
      <c r="A17" s="48" t="s">
        <v>391</v>
      </c>
      <c r="B17" s="11" t="s">
        <v>392</v>
      </c>
      <c r="C17" s="21" t="n">
        <v>46721</v>
      </c>
      <c r="D17" s="20" t="s">
        <v>378</v>
      </c>
      <c r="E17" s="12" t="s">
        <v>160</v>
      </c>
      <c r="F17" s="12" t="s">
        <v>393</v>
      </c>
      <c r="G17" s="87" t="n">
        <f aca="false">IF(C17="","",C17-Cover!$C$7)</f>
        <v>445</v>
      </c>
      <c r="H17" s="88" t="str">
        <f aca="false">IF(C17="","",IF(C17&lt;Cover!$C$7,"Passed","Upcoming"))</f>
        <v>Upcoming</v>
      </c>
      <c r="I17" s="89" t="n">
        <f aca="false">IF(AND(C17&lt;&gt;"",N(G17)&gt;=0),C17+ROW()/100000,"")</f>
        <v>46721.00017</v>
      </c>
    </row>
    <row r="18" customFormat="false" ht="24" hidden="false" customHeight="true" outlineLevel="0" collapsed="false">
      <c r="A18" s="48" t="s">
        <v>394</v>
      </c>
      <c r="B18" s="11" t="s">
        <v>395</v>
      </c>
      <c r="C18" s="21" t="n">
        <v>46779</v>
      </c>
      <c r="D18" s="20" t="s">
        <v>378</v>
      </c>
      <c r="E18" s="12" t="s">
        <v>174</v>
      </c>
      <c r="F18" s="12" t="s">
        <v>396</v>
      </c>
      <c r="G18" s="87" t="n">
        <f aca="false">IF(C18="","",C18-Cover!$C$7)</f>
        <v>503</v>
      </c>
      <c r="H18" s="88" t="str">
        <f aca="false">IF(C18="","",IF(C18&lt;Cover!$C$7,"Passed","Upcoming"))</f>
        <v>Upcoming</v>
      </c>
      <c r="I18" s="89" t="n">
        <f aca="false">IF(AND(C18&lt;&gt;"",N(G18)&gt;=0),C18+ROW()/100000,"")</f>
        <v>46779.00018</v>
      </c>
    </row>
    <row r="19" customFormat="false" ht="18" hidden="false" customHeight="true" outlineLevel="0" collapsed="false">
      <c r="A19" s="20"/>
      <c r="B19" s="12"/>
      <c r="C19" s="21"/>
      <c r="D19" s="20"/>
      <c r="E19" s="12"/>
      <c r="F19" s="12"/>
      <c r="G19" s="87" t="str">
        <f aca="false">IF(C19="","",C19-Cover!$C$7)</f>
        <v/>
      </c>
      <c r="H19" s="88" t="str">
        <f aca="false">IF(C19="","",IF(C19&lt;Cover!$C$7,"Passed","Upcoming"))</f>
        <v/>
      </c>
      <c r="I19" s="86" t="str">
        <f aca="false">IF(AND(C19&lt;&gt;"",N(G19)&gt;=0),C19+ROW()/100000,"")</f>
        <v/>
      </c>
    </row>
    <row r="20" customFormat="false" ht="18" hidden="false" customHeight="true" outlineLevel="0" collapsed="false">
      <c r="A20" s="20"/>
      <c r="B20" s="12"/>
      <c r="C20" s="21"/>
      <c r="D20" s="20"/>
      <c r="E20" s="12"/>
      <c r="F20" s="12"/>
      <c r="G20" s="87" t="str">
        <f aca="false">IF(C20="","",C20-Cover!$C$7)</f>
        <v/>
      </c>
      <c r="H20" s="88" t="str">
        <f aca="false">IF(C20="","",IF(C20&lt;Cover!$C$7,"Passed","Upcoming"))</f>
        <v/>
      </c>
      <c r="I20" s="86" t="str">
        <f aca="false">IF(AND(C20&lt;&gt;"",N(G20)&gt;=0),C20+ROW()/100000,"")</f>
        <v/>
      </c>
    </row>
    <row r="21" customFormat="false" ht="18" hidden="false" customHeight="true" outlineLevel="0" collapsed="false">
      <c r="A21" s="20"/>
      <c r="B21" s="12"/>
      <c r="C21" s="21"/>
      <c r="D21" s="20"/>
      <c r="E21" s="12"/>
      <c r="F21" s="12"/>
      <c r="G21" s="87" t="str">
        <f aca="false">IF(C21="","",C21-Cover!$C$7)</f>
        <v/>
      </c>
      <c r="H21" s="88" t="str">
        <f aca="false">IF(C21="","",IF(C21&lt;Cover!$C$7,"Passed","Upcoming"))</f>
        <v/>
      </c>
      <c r="I21" s="86" t="str">
        <f aca="false">IF(AND(C21&lt;&gt;"",N(G21)&gt;=0),C21+ROW()/100000,"")</f>
        <v/>
      </c>
    </row>
    <row r="22" customFormat="false" ht="18" hidden="false" customHeight="true" outlineLevel="0" collapsed="false">
      <c r="A22" s="20"/>
      <c r="B22" s="12"/>
      <c r="C22" s="21"/>
      <c r="D22" s="20"/>
      <c r="E22" s="12"/>
      <c r="F22" s="12"/>
      <c r="G22" s="87" t="str">
        <f aca="false">IF(C22="","",C22-Cover!$C$7)</f>
        <v/>
      </c>
      <c r="H22" s="88" t="str">
        <f aca="false">IF(C22="","",IF(C22&lt;Cover!$C$7,"Passed","Upcoming"))</f>
        <v/>
      </c>
      <c r="I22" s="86" t="str">
        <f aca="false">IF(AND(C22&lt;&gt;"",N(G22)&gt;=0),C22+ROW()/100000,"")</f>
        <v/>
      </c>
    </row>
    <row r="23" customFormat="false" ht="18" hidden="false" customHeight="true" outlineLevel="0" collapsed="false">
      <c r="A23" s="20"/>
      <c r="B23" s="12"/>
      <c r="C23" s="21"/>
      <c r="D23" s="20"/>
      <c r="E23" s="12"/>
      <c r="F23" s="12"/>
      <c r="G23" s="87" t="str">
        <f aca="false">IF(C23="","",C23-Cover!$C$7)</f>
        <v/>
      </c>
      <c r="H23" s="88" t="str">
        <f aca="false">IF(C23="","",IF(C23&lt;Cover!$C$7,"Passed","Upcoming"))</f>
        <v/>
      </c>
      <c r="I23" s="86" t="str">
        <f aca="false">IF(AND(C23&lt;&gt;"",N(G23)&gt;=0),C23+ROW()/100000,"")</f>
        <v/>
      </c>
    </row>
    <row r="24" customFormat="false" ht="18" hidden="false" customHeight="true" outlineLevel="0" collapsed="false">
      <c r="A24" s="20"/>
      <c r="B24" s="12"/>
      <c r="C24" s="21"/>
      <c r="D24" s="20"/>
      <c r="E24" s="12"/>
      <c r="F24" s="12"/>
      <c r="G24" s="87" t="str">
        <f aca="false">IF(C24="","",C24-Cover!$C$7)</f>
        <v/>
      </c>
      <c r="H24" s="88" t="str">
        <f aca="false">IF(C24="","",IF(C24&lt;Cover!$C$7,"Passed","Upcoming"))</f>
        <v/>
      </c>
      <c r="I24" s="86" t="str">
        <f aca="false">IF(AND(C24&lt;&gt;"",N(G24)&gt;=0),C24+ROW()/100000,"")</f>
        <v/>
      </c>
    </row>
    <row r="25" customFormat="false" ht="18" hidden="false" customHeight="true" outlineLevel="0" collapsed="false">
      <c r="A25" s="20"/>
      <c r="B25" s="12"/>
      <c r="C25" s="21"/>
      <c r="D25" s="20"/>
      <c r="E25" s="12"/>
      <c r="F25" s="12"/>
      <c r="G25" s="87" t="str">
        <f aca="false">IF(C25="","",C25-Cover!$C$7)</f>
        <v/>
      </c>
      <c r="H25" s="88" t="str">
        <f aca="false">IF(C25="","",IF(C25&lt;Cover!$C$7,"Passed","Upcoming"))</f>
        <v/>
      </c>
      <c r="I25" s="86" t="str">
        <f aca="false">IF(AND(C25&lt;&gt;"",N(G25)&gt;=0),C25+ROW()/100000,"")</f>
        <v/>
      </c>
    </row>
    <row r="26" customFormat="false" ht="18" hidden="false" customHeight="true" outlineLevel="0" collapsed="false">
      <c r="A26" s="20"/>
      <c r="B26" s="12"/>
      <c r="C26" s="21"/>
      <c r="D26" s="20"/>
      <c r="E26" s="12"/>
      <c r="F26" s="12"/>
      <c r="G26" s="87" t="str">
        <f aca="false">IF(C26="","",C26-Cover!$C$7)</f>
        <v/>
      </c>
      <c r="H26" s="88" t="str">
        <f aca="false">IF(C26="","",IF(C26&lt;Cover!$C$7,"Passed","Upcoming"))</f>
        <v/>
      </c>
      <c r="I26" s="86" t="str">
        <f aca="false">IF(AND(C26&lt;&gt;"",N(G26)&gt;=0),C26+ROW()/100000,"")</f>
        <v/>
      </c>
    </row>
    <row r="27" customFormat="false" ht="18" hidden="false" customHeight="true" outlineLevel="0" collapsed="false">
      <c r="A27" s="20"/>
      <c r="B27" s="12"/>
      <c r="C27" s="21"/>
      <c r="D27" s="20"/>
      <c r="E27" s="12"/>
      <c r="F27" s="12"/>
      <c r="G27" s="87" t="str">
        <f aca="false">IF(C27="","",C27-Cover!$C$7)</f>
        <v/>
      </c>
      <c r="H27" s="88" t="str">
        <f aca="false">IF(C27="","",IF(C27&lt;Cover!$C$7,"Passed","Upcoming"))</f>
        <v/>
      </c>
      <c r="I27" s="86" t="str">
        <f aca="false">IF(AND(C27&lt;&gt;"",N(G27)&gt;=0),C27+ROW()/100000,"")</f>
        <v/>
      </c>
    </row>
    <row r="28" customFormat="false" ht="18" hidden="false" customHeight="true" outlineLevel="0" collapsed="false">
      <c r="A28" s="20"/>
      <c r="B28" s="12"/>
      <c r="C28" s="21"/>
      <c r="D28" s="20"/>
      <c r="E28" s="12"/>
      <c r="F28" s="12"/>
      <c r="G28" s="87" t="str">
        <f aca="false">IF(C28="","",C28-Cover!$C$7)</f>
        <v/>
      </c>
      <c r="H28" s="88" t="str">
        <f aca="false">IF(C28="","",IF(C28&lt;Cover!$C$7,"Passed","Upcoming"))</f>
        <v/>
      </c>
      <c r="I28" s="86" t="str">
        <f aca="false">IF(AND(C28&lt;&gt;"",N(G28)&gt;=0),C28+ROW()/100000,"")</f>
        <v/>
      </c>
    </row>
    <row r="29" customFormat="false" ht="18" hidden="false" customHeight="true" outlineLevel="0" collapsed="false">
      <c r="A29" s="20"/>
      <c r="B29" s="12"/>
      <c r="C29" s="21"/>
      <c r="D29" s="20"/>
      <c r="E29" s="12"/>
      <c r="F29" s="12"/>
      <c r="G29" s="87" t="str">
        <f aca="false">IF(C29="","",C29-Cover!$C$7)</f>
        <v/>
      </c>
      <c r="H29" s="88" t="str">
        <f aca="false">IF(C29="","",IF(C29&lt;Cover!$C$7,"Passed","Upcoming"))</f>
        <v/>
      </c>
      <c r="I29" s="86" t="str">
        <f aca="false">IF(AND(C29&lt;&gt;"",N(G29)&gt;=0),C29+ROW()/100000,"")</f>
        <v/>
      </c>
    </row>
    <row r="30" customFormat="false" ht="18" hidden="false" customHeight="true" outlineLevel="0" collapsed="false">
      <c r="A30" s="20"/>
      <c r="B30" s="12"/>
      <c r="C30" s="21"/>
      <c r="D30" s="20"/>
      <c r="E30" s="12"/>
      <c r="F30" s="12"/>
      <c r="G30" s="87" t="str">
        <f aca="false">IF(C30="","",C30-Cover!$C$7)</f>
        <v/>
      </c>
      <c r="H30" s="88" t="str">
        <f aca="false">IF(C30="","",IF(C30&lt;Cover!$C$7,"Passed","Upcoming"))</f>
        <v/>
      </c>
      <c r="I30" s="86" t="str">
        <f aca="false">IF(AND(C30&lt;&gt;"",N(G30)&gt;=0),C30+ROW()/100000,"")</f>
        <v/>
      </c>
    </row>
    <row r="31" customFormat="false" ht="18" hidden="false" customHeight="true" outlineLevel="0" collapsed="false">
      <c r="A31" s="20"/>
      <c r="B31" s="12"/>
      <c r="C31" s="21"/>
      <c r="D31" s="20"/>
      <c r="E31" s="12"/>
      <c r="F31" s="12"/>
      <c r="G31" s="87" t="str">
        <f aca="false">IF(C31="","",C31-Cover!$C$7)</f>
        <v/>
      </c>
      <c r="H31" s="88" t="str">
        <f aca="false">IF(C31="","",IF(C31&lt;Cover!$C$7,"Passed","Upcoming"))</f>
        <v/>
      </c>
      <c r="I31" s="86" t="str">
        <f aca="false">IF(AND(C31&lt;&gt;"",N(G31)&gt;=0),C31+ROW()/100000,"")</f>
        <v/>
      </c>
    </row>
    <row r="32" customFormat="false" ht="18" hidden="false" customHeight="true" outlineLevel="0" collapsed="false">
      <c r="A32" s="20"/>
      <c r="B32" s="12"/>
      <c r="C32" s="21"/>
      <c r="D32" s="20"/>
      <c r="E32" s="12"/>
      <c r="F32" s="12"/>
      <c r="G32" s="87" t="str">
        <f aca="false">IF(C32="","",C32-Cover!$C$7)</f>
        <v/>
      </c>
      <c r="H32" s="88" t="str">
        <f aca="false">IF(C32="","",IF(C32&lt;Cover!$C$7,"Passed","Upcoming"))</f>
        <v/>
      </c>
      <c r="I32" s="86" t="str">
        <f aca="false">IF(AND(C32&lt;&gt;"",N(G32)&gt;=0),C32+ROW()/100000,"")</f>
        <v/>
      </c>
    </row>
    <row r="33" customFormat="false" ht="18" hidden="false" customHeight="true" outlineLevel="0" collapsed="false">
      <c r="A33" s="20"/>
      <c r="B33" s="12"/>
      <c r="C33" s="21"/>
      <c r="D33" s="20"/>
      <c r="E33" s="12"/>
      <c r="F33" s="12"/>
      <c r="G33" s="87" t="str">
        <f aca="false">IF(C33="","",C33-Cover!$C$7)</f>
        <v/>
      </c>
      <c r="H33" s="88" t="str">
        <f aca="false">IF(C33="","",IF(C33&lt;Cover!$C$7,"Passed","Upcoming"))</f>
        <v/>
      </c>
      <c r="I33" s="86" t="str">
        <f aca="false">IF(AND(C33&lt;&gt;"",N(G33)&gt;=0),C33+ROW()/100000,"")</f>
        <v/>
      </c>
    </row>
    <row r="34" customFormat="false" ht="18" hidden="false" customHeight="true" outlineLevel="0" collapsed="false">
      <c r="A34" s="20"/>
      <c r="B34" s="12"/>
      <c r="C34" s="21"/>
      <c r="D34" s="20"/>
      <c r="E34" s="12"/>
      <c r="F34" s="12"/>
      <c r="G34" s="87" t="str">
        <f aca="false">IF(C34="","",C34-Cover!$C$7)</f>
        <v/>
      </c>
      <c r="H34" s="88" t="str">
        <f aca="false">IF(C34="","",IF(C34&lt;Cover!$C$7,"Passed","Upcoming"))</f>
        <v/>
      </c>
      <c r="I34" s="86" t="str">
        <f aca="false">IF(AND(C34&lt;&gt;"",N(G34)&gt;=0),C34+ROW()/100000,"")</f>
        <v/>
      </c>
    </row>
    <row r="35" customFormat="false" ht="18" hidden="false" customHeight="true" outlineLevel="0" collapsed="false">
      <c r="A35" s="20"/>
      <c r="B35" s="12"/>
      <c r="C35" s="21"/>
      <c r="D35" s="20"/>
      <c r="E35" s="12"/>
      <c r="F35" s="12"/>
      <c r="G35" s="87" t="str">
        <f aca="false">IF(C35="","",C35-Cover!$C$7)</f>
        <v/>
      </c>
      <c r="H35" s="88" t="str">
        <f aca="false">IF(C35="","",IF(C35&lt;Cover!$C$7,"Passed","Upcoming"))</f>
        <v/>
      </c>
      <c r="I35" s="86" t="str">
        <f aca="false">IF(AND(C35&lt;&gt;"",N(G35)&gt;=0),C35+ROW()/100000,"")</f>
        <v/>
      </c>
    </row>
    <row r="36" customFormat="false" ht="18" hidden="false" customHeight="true" outlineLevel="0" collapsed="false">
      <c r="A36" s="20"/>
      <c r="B36" s="12"/>
      <c r="C36" s="21"/>
      <c r="D36" s="20"/>
      <c r="E36" s="12"/>
      <c r="F36" s="12"/>
      <c r="G36" s="87" t="str">
        <f aca="false">IF(C36="","",C36-Cover!$C$7)</f>
        <v/>
      </c>
      <c r="H36" s="88" t="str">
        <f aca="false">IF(C36="","",IF(C36&lt;Cover!$C$7,"Passed","Upcoming"))</f>
        <v/>
      </c>
      <c r="I36" s="86" t="str">
        <f aca="false">IF(AND(C36&lt;&gt;"",N(G36)&gt;=0),C36+ROW()/100000,"")</f>
        <v/>
      </c>
    </row>
    <row r="37" customFormat="false" ht="18" hidden="false" customHeight="true" outlineLevel="0" collapsed="false">
      <c r="A37" s="20"/>
      <c r="B37" s="12"/>
      <c r="C37" s="21"/>
      <c r="D37" s="20"/>
      <c r="E37" s="12"/>
      <c r="F37" s="12"/>
      <c r="G37" s="87" t="str">
        <f aca="false">IF(C37="","",C37-Cover!$C$7)</f>
        <v/>
      </c>
      <c r="H37" s="88" t="str">
        <f aca="false">IF(C37="","",IF(C37&lt;Cover!$C$7,"Passed","Upcoming"))</f>
        <v/>
      </c>
      <c r="I37" s="86" t="str">
        <f aca="false">IF(AND(C37&lt;&gt;"",N(G37)&gt;=0),C37+ROW()/100000,"")</f>
        <v/>
      </c>
    </row>
    <row r="38" customFormat="false" ht="18" hidden="false" customHeight="true" outlineLevel="0" collapsed="false">
      <c r="A38" s="20"/>
      <c r="B38" s="12"/>
      <c r="C38" s="21"/>
      <c r="D38" s="20"/>
      <c r="E38" s="12"/>
      <c r="F38" s="12"/>
      <c r="G38" s="87" t="str">
        <f aca="false">IF(C38="","",C38-Cover!$C$7)</f>
        <v/>
      </c>
      <c r="H38" s="88" t="str">
        <f aca="false">IF(C38="","",IF(C38&lt;Cover!$C$7,"Passed","Upcoming"))</f>
        <v/>
      </c>
      <c r="I38" s="86" t="str">
        <f aca="false">IF(AND(C38&lt;&gt;"",N(G38)&gt;=0),C38+ROW()/100000,"")</f>
        <v/>
      </c>
    </row>
    <row r="39" customFormat="false" ht="18" hidden="false" customHeight="true" outlineLevel="0" collapsed="false">
      <c r="A39" s="20"/>
      <c r="B39" s="12"/>
      <c r="C39" s="21"/>
      <c r="D39" s="20"/>
      <c r="E39" s="12"/>
      <c r="F39" s="12"/>
      <c r="G39" s="87" t="str">
        <f aca="false">IF(C39="","",C39-Cover!$C$7)</f>
        <v/>
      </c>
      <c r="H39" s="88" t="str">
        <f aca="false">IF(C39="","",IF(C39&lt;Cover!$C$7,"Passed","Upcoming"))</f>
        <v/>
      </c>
      <c r="I39" s="86" t="str">
        <f aca="false">IF(AND(C39&lt;&gt;"",N(G39)&gt;=0),C39+ROW()/100000,"")</f>
        <v/>
      </c>
    </row>
    <row r="40" customFormat="false" ht="18" hidden="false" customHeight="true" outlineLevel="0" collapsed="false">
      <c r="A40" s="20"/>
      <c r="B40" s="12"/>
      <c r="C40" s="21"/>
      <c r="D40" s="20"/>
      <c r="E40" s="12"/>
      <c r="F40" s="12"/>
      <c r="G40" s="87" t="str">
        <f aca="false">IF(C40="","",C40-Cover!$C$7)</f>
        <v/>
      </c>
      <c r="H40" s="88" t="str">
        <f aca="false">IF(C40="","",IF(C40&lt;Cover!$C$7,"Passed","Upcoming"))</f>
        <v/>
      </c>
      <c r="I40" s="86" t="str">
        <f aca="false">IF(AND(C40&lt;&gt;"",N(G40)&gt;=0),C40+ROW()/100000,"")</f>
        <v/>
      </c>
    </row>
  </sheetData>
  <conditionalFormatting sqref="D5:D40">
    <cfRule type="cellIs" priority="2" operator="equal" aboveAverage="0" equalAverage="0" bottom="0" percent="0" rank="0" text="" dxfId="0">
      <formula>"Gate"</formula>
    </cfRule>
    <cfRule type="cellIs" priority="3" operator="equal" aboveAverage="0" equalAverage="0" bottom="0" percent="0" rank="0" text="" dxfId="1">
      <formula>"Decision"</formula>
    </cfRule>
    <cfRule type="cellIs" priority="4" operator="equal" aboveAverage="0" equalAverage="0" bottom="0" percent="0" rank="0" text="" dxfId="2">
      <formula>"Launch"</formula>
    </cfRule>
    <cfRule type="cellIs" priority="5" operator="equal" aboveAverage="0" equalAverage="0" bottom="0" percent="0" rank="0" text="" dxfId="3">
      <formula>"Dependency"</formula>
    </cfRule>
    <cfRule type="cellIs" priority="6" operator="equal" aboveAverage="0" equalAverage="0" bottom="0" percent="0" rank="0" text="" dxfId="40">
      <formula>"Review"</formula>
    </cfRule>
  </conditionalFormatting>
  <conditionalFormatting sqref="H5:H40">
    <cfRule type="cellIs" priority="7" operator="equal" aboveAverage="0" equalAverage="0" bottom="0" percent="0" rank="0" text="" dxfId="40">
      <formula>"Passed"</formula>
    </cfRule>
  </conditionalFormatting>
  <dataValidations count="1">
    <dataValidation allowBlank="true" errorStyle="stop" operator="between" showDropDown="false" showErrorMessage="false" showInputMessage="false" sqref="D5:D40" type="list">
      <formula1>"Decision,Gate,Launch,Review,Dependency"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2026-09-11T10:48:18Z</dcterms:created>
  <dc:creator>openpyxl</dc:creator>
  <dc:description/>
  <dc:language>en-US</dc:language>
  <cp:lastModifiedBy/>
  <dcterms:modified xsi:type="dcterms:W3CDTF">2026-09-11T10:48:21Z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