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Dashboard" sheetId="2" state="visible" r:id="rId4"/>
    <sheet name="Risks" sheetId="3" state="visible" r:id="rId5"/>
    <sheet name="Assumptions" sheetId="4" state="visible" r:id="rId6"/>
    <sheet name="Issues" sheetId="5" state="visible" r:id="rId7"/>
    <sheet name="Dependencies" sheetId="6" state="visible" r:id="rId8"/>
  </sheets>
  <definedNames>
    <definedName function="false" hidden="false" localSheetId="3" name="_xlnm.Print_Titles" vbProcedure="false">Assumptions!$4:$4</definedName>
    <definedName function="false" hidden="true" localSheetId="3" name="_xlnm._FilterDatabase" vbProcedure="false">Assumptions!$A$4:$O$54</definedName>
    <definedName function="false" hidden="false" localSheetId="5" name="_xlnm.Print_Titles" vbProcedure="false">Dependencies!$4:$4</definedName>
    <definedName function="false" hidden="true" localSheetId="5" name="_xlnm._FilterDatabase" vbProcedure="false">Dependencies!$A$4:$P$54</definedName>
    <definedName function="false" hidden="false" localSheetId="4" name="_xlnm.Print_Titles" vbProcedure="false">Issues!$4:$4</definedName>
    <definedName function="false" hidden="true" localSheetId="4" name="_xlnm._FilterDatabase" vbProcedure="false">Issues!$A$4:$Q$54</definedName>
    <definedName function="false" hidden="false" localSheetId="2" name="_xlnm.Print_Titles" vbProcedure="false">Risks!$4:$4</definedName>
    <definedName function="false" hidden="true" localSheetId="2" name="_xlnm._FilterDatabase" vbProcedure="false">Risks!$A$4:$T$54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<sst xmlns="http://schemas.openxmlformats.org/spreadsheetml/2006/main" count="563" uniqueCount="405">
  <si>
    <t xml:space="preserve">RAID Log</t>
  </si>
  <si>
    <t xml:space="preserve">Merchant Payment Operations &amp; Dispute Hub</t>
  </si>
  <si>
    <t xml:space="preserve">Document</t>
  </si>
  <si>
    <t xml:space="preserve">Risks, Assumptions, Issues &amp; Dependencies Log</t>
  </si>
  <si>
    <t xml:space="preserve">Version</t>
  </si>
  <si>
    <t xml:space="preserve">1.0</t>
  </si>
  <si>
    <t xml:space="preserve">Reporting date</t>
  </si>
  <si>
    <t xml:space="preserve">Project phase</t>
  </si>
  <si>
    <t xml:space="preserve">MVP build (illustrative timeline)</t>
  </si>
  <si>
    <t xml:space="preserve">Prepared by</t>
  </si>
  <si>
    <t xml:space="preserve">Bhawna, Product Owner</t>
  </si>
  <si>
    <t xml:space="preserve">Review cadence</t>
  </si>
  <si>
    <t xml:space="preserve">Weekly in project status meeting; top items to steering committee fortnightly</t>
  </si>
  <si>
    <t xml:space="preserve">Project type</t>
  </si>
  <si>
    <t xml:space="preserve">Simulation / portfolio project prepared to demonstrate Product Owner practice. Not an actual client system; teams, dates and vendors are illustrative.</t>
  </si>
  <si>
    <t xml:space="preserve">Purpose</t>
  </si>
  <si>
    <t xml:space="preserve">This log tracks the items that could affect delivery of the Merchant Payment Operations &amp; Dispute Hub MVP. It gives leadership a single view of exposure, the owner of each item, and where decisions or support are needed. The Dashboard tab summarizes the log; the four detail tabs hold the full records.</t>
  </si>
  <si>
    <t xml:space="preserve">Definitions</t>
  </si>
  <si>
    <t xml:space="preserve">Type</t>
  </si>
  <si>
    <t xml:space="preserve">Meaning</t>
  </si>
  <si>
    <t xml:space="preserve">Risk</t>
  </si>
  <si>
    <t xml:space="preserve">A future, uncertain event that would affect scope, time, cost, quality or compliance if it happened.</t>
  </si>
  <si>
    <t xml:space="preserve">Assumption</t>
  </si>
  <si>
    <t xml:space="preserve">Something the plan treats as true that has not yet been verified. Each one has a validation owner and date.</t>
  </si>
  <si>
    <t xml:space="preserve">Issue</t>
  </si>
  <si>
    <t xml:space="preserve">A problem that is happening now and needs action. A risk that materializes is moved to the Issues tab.</t>
  </si>
  <si>
    <t xml:space="preserve">Dependency</t>
  </si>
  <si>
    <t xml:space="preserve">A deliverable the project needs from another team or vendor (inbound), or that another team needs from the project (outbound).</t>
  </si>
  <si>
    <t xml:space="preserve">Risk scoring</t>
  </si>
  <si>
    <t xml:space="preserve">Score = Probability × Impact (1–25). Rating: High 15–25 · Medium 8–14 · Low 1–7. High risks need an active mitigation plan and are reported to the steering committee.</t>
  </si>
  <si>
    <t xml:space="preserve">Score</t>
  </si>
  <si>
    <t xml:space="preserve">Probability</t>
  </si>
  <si>
    <t xml:space="preserve">Impact</t>
  </si>
  <si>
    <t xml:space="preserve">Rare</t>
  </si>
  <si>
    <t xml:space="preserve">Less than 10%</t>
  </si>
  <si>
    <t xml:space="preserve">Negligible</t>
  </si>
  <si>
    <t xml:space="preserve">No noticeable effect on delivery</t>
  </si>
  <si>
    <t xml:space="preserve">Unlikely</t>
  </si>
  <si>
    <t xml:space="preserve">10–30%</t>
  </si>
  <si>
    <t xml:space="preserve">Minor</t>
  </si>
  <si>
    <t xml:space="preserve">Slip under 1 week; absorbed within a sprint</t>
  </si>
  <si>
    <t xml:space="preserve">Possible</t>
  </si>
  <si>
    <t xml:space="preserve">30–50%</t>
  </si>
  <si>
    <t xml:space="preserve">Moderate</t>
  </si>
  <si>
    <t xml:space="preserve">1–2 sprint slip or a feature descoped</t>
  </si>
  <si>
    <t xml:space="preserve">Likely</t>
  </si>
  <si>
    <t xml:space="preserve">50–80%</t>
  </si>
  <si>
    <t xml:space="preserve">Major</t>
  </si>
  <si>
    <t xml:space="preserve">Milestone or go-live slip; compliance finding</t>
  </si>
  <si>
    <t xml:space="preserve">Almost certain</t>
  </si>
  <si>
    <t xml:space="preserve">More than 80%</t>
  </si>
  <si>
    <t xml:space="preserve">Severe</t>
  </si>
  <si>
    <t xml:space="preserve">Regulatory breach, financial loss, or go-live blocked</t>
  </si>
  <si>
    <t xml:space="preserve">Status definitions</t>
  </si>
  <si>
    <t xml:space="preserve">Tab</t>
  </si>
  <si>
    <t xml:space="preserve">Status values</t>
  </si>
  <si>
    <t xml:space="preserve">Risks</t>
  </si>
  <si>
    <t xml:space="preserve">Open · Monitoring (mitigations in place, watching triggers) · Occurred - moved to Issue · Closed</t>
  </si>
  <si>
    <t xml:space="preserve">Assumptions</t>
  </si>
  <si>
    <t xml:space="preserve">Unvalidated · Validating · Confirmed · Invalid - raised as Risk/Issue</t>
  </si>
  <si>
    <t xml:space="preserve">Issues</t>
  </si>
  <si>
    <t xml:space="preserve">Open · In Progress · Escalated · Resolved · Closed. Priority: Critical · High · Medium · Low</t>
  </si>
  <si>
    <t xml:space="preserve">Dependencies</t>
  </si>
  <si>
    <t xml:space="preserve">Not Started · On Track · At Risk · Late · Delivered</t>
  </si>
  <si>
    <t xml:space="preserve">How to maintain this log</t>
  </si>
  <si>
    <t xml:space="preserve">1. Add new items in the next empty row of the relevant tab. IDs follow R-##, A-##, I-##, D-##.</t>
  </si>
  <si>
    <t xml:space="preserve">2. Fill the white columns only. Grey columns (score, rating, days open, slippage) calculate automatically.</t>
  </si>
  <si>
    <t xml:space="preserve">3. Every item needs exactly one owner and a target date.</t>
  </si>
  <si>
    <t xml:space="preserve">4. Update the Status and Last Updated columns at each weekly review. Close items with notes rather than deleting them.</t>
  </si>
  <si>
    <t xml:space="preserve">5. When a risk occurs, set its status to 'Occurred - moved to Issue' and log a linked issue.</t>
  </si>
  <si>
    <t xml:space="preserve">Version history</t>
  </si>
  <si>
    <t xml:space="preserve">Date</t>
  </si>
  <si>
    <t xml:space="preserve">Author</t>
  </si>
  <si>
    <t xml:space="preserve">Change summary</t>
  </si>
  <si>
    <t xml:space="preserve">10-Sep-2026</t>
  </si>
  <si>
    <t xml:space="preserve">Bhawna</t>
  </si>
  <si>
    <t xml:space="preserve">Initial baseline from RAID workshop and discovery outputs.</t>
  </si>
  <si>
    <t xml:space="preserve">RAID Dashboard</t>
  </si>
  <si>
    <t xml:space="preserve">Merchant Payment Operations &amp; Dispute Hub · Simulation project · Figures update automatically from the detail tabs</t>
  </si>
  <si>
    <t xml:space="preserve">Reporting date:</t>
  </si>
  <si>
    <t xml:space="preserve">Summary</t>
  </si>
  <si>
    <t xml:space="preserve">Log</t>
  </si>
  <si>
    <t xml:space="preserve">Total logged</t>
  </si>
  <si>
    <t xml:space="preserve">Open</t>
  </si>
  <si>
    <t xml:space="preserve">Needs attention</t>
  </si>
  <si>
    <t xml:space="preserve">Needs attention means</t>
  </si>
  <si>
    <t xml:space="preserve">Open or monitoring risks rated High (score 15+)</t>
  </si>
  <si>
    <t xml:space="preserve">Validation overdue, or proven invalid</t>
  </si>
  <si>
    <t xml:space="preserve">Escalated, or Critical and unresolved</t>
  </si>
  <si>
    <t xml:space="preserve">At risk or late</t>
  </si>
  <si>
    <t xml:space="preserve">Top 5 open risks by score</t>
  </si>
  <si>
    <t xml:space="preserve">ID</t>
  </si>
  <si>
    <t xml:space="preserve">Rating</t>
  </si>
  <si>
    <t xml:space="preserve">Owner</t>
  </si>
  <si>
    <t xml:space="preserve">Target date</t>
  </si>
  <si>
    <t xml:space="preserve">Status</t>
  </si>
  <si>
    <t xml:space="preserve">Linked</t>
  </si>
  <si>
    <t xml:space="preserve">Risk heat map (count of open and monitoring risks)</t>
  </si>
  <si>
    <t xml:space="preserve">Probability ↓   Impact →</t>
  </si>
  <si>
    <t xml:space="preserve">1 · Negligible</t>
  </si>
  <si>
    <t xml:space="preserve">2 · Minor</t>
  </si>
  <si>
    <t xml:space="preserve">3 · Moderate</t>
  </si>
  <si>
    <t xml:space="preserve">4 · Major</t>
  </si>
  <si>
    <t xml:space="preserve">5 · Severe</t>
  </si>
  <si>
    <t xml:space="preserve">5 · Almost certain</t>
  </si>
  <si>
    <t xml:space="preserve">High</t>
  </si>
  <si>
    <t xml:space="preserve">4 · Likely</t>
  </si>
  <si>
    <t xml:space="preserve">Medium</t>
  </si>
  <si>
    <t xml:space="preserve">3 · Possible</t>
  </si>
  <si>
    <t xml:space="preserve">Low</t>
  </si>
  <si>
    <t xml:space="preserve">2 · Unlikely</t>
  </si>
  <si>
    <t xml:space="preserve">1 · Rare</t>
  </si>
  <si>
    <t xml:space="preserve">Support requested from leadership</t>
  </si>
  <si>
    <t xml:space="preserve">#</t>
  </si>
  <si>
    <t xml:space="preserve">Ask</t>
  </si>
  <si>
    <t xml:space="preserve">Related items</t>
  </si>
  <si>
    <t xml:space="preserve">Needed by</t>
  </si>
  <si>
    <t xml:space="preserve">1</t>
  </si>
  <si>
    <t xml:space="preserve">Help secure an InfoSec penetration test slot before UAT. The currently committed date is two weeks after the date needed.</t>
  </si>
  <si>
    <t xml:space="preserve">D-03, R-02</t>
  </si>
  <si>
    <t xml:space="preserve">2</t>
  </si>
  <si>
    <t xml:space="preserve">Broker a decision between Finance and Dispute Ops on how 'won' and 'lost' disputes are defined, so the win-rate KPI can be finalized.</t>
  </si>
  <si>
    <t xml:space="preserve">I-05</t>
  </si>
  <si>
    <t xml:space="preserve">3</t>
  </si>
  <si>
    <t xml:space="preserve">Confirm the MVP scope baseline and agree to defer fraud case management and dispute-to-fraud linking to Phase 2.</t>
  </si>
  <si>
    <t xml:space="preserve">R-07, D-07</t>
  </si>
  <si>
    <t xml:space="preserve">Risk Register</t>
  </si>
  <si>
    <t xml:space="preserve">Merchant Payment Operations &amp; Dispute Hub · Simulation project</t>
  </si>
  <si>
    <t xml:space="preserve">Grey columns calculate automatically. Edit white columns only. Use the dropdowns where provided.</t>
  </si>
  <si>
    <t xml:space="preserve">Category</t>
  </si>
  <si>
    <t xml:space="preserve">Risk Title</t>
  </si>
  <si>
    <t xml:space="preserve">Description (cause → event → effect)</t>
  </si>
  <si>
    <t xml:space="preserve">Raised By</t>
  </si>
  <si>
    <t xml:space="preserve">Date Raised</t>
  </si>
  <si>
    <t xml:space="preserve">Probability (1-5)</t>
  </si>
  <si>
    <t xml:space="preserve">Impact (1-5)</t>
  </si>
  <si>
    <t xml:space="preserve">Response Strategy</t>
  </si>
  <si>
    <t xml:space="preserve">Mitigation Plan</t>
  </si>
  <si>
    <t xml:space="preserve">Contingency Plan</t>
  </si>
  <si>
    <t xml:space="preserve">Trigger / Early Warning</t>
  </si>
  <si>
    <t xml:space="preserve">Target Date</t>
  </si>
  <si>
    <t xml:space="preserve">Linked Items</t>
  </si>
  <si>
    <t xml:space="preserve">Last Updated</t>
  </si>
  <si>
    <t xml:space="preserve">Rank helper</t>
  </si>
  <si>
    <t xml:space="preserve">R-01</t>
  </si>
  <si>
    <t xml:space="preserve">Compliance &amp; Regulatory</t>
  </si>
  <si>
    <t xml:space="preserve">Card network dispute rule changes before go-live</t>
  </si>
  <si>
    <t xml:space="preserve">Card networks periodically update dispute reason codes and response time frames. If a rule change lands during build, reason-code mapping and SLA timers could be wrong at launch, causing lost disputes and rework.</t>
  </si>
  <si>
    <t xml:space="preserve">Product Owner</t>
  </si>
  <si>
    <t xml:space="preserve">Mitigate</t>
  </si>
  <si>
    <t xml:space="preserve">Hold reason codes and response windows as configurable reference data rather than hard-coded logic; subscribe to network bulletins; add a rule-change check to sprint planning.</t>
  </si>
  <si>
    <t xml:space="preserve">Apply configuration update and notify merchants within 5 business days of the rule effective date.</t>
  </si>
  <si>
    <t xml:space="preserve">New network bulletin affecting dispute codes or time frames.</t>
  </si>
  <si>
    <t xml:space="preserve">I-02</t>
  </si>
  <si>
    <t xml:space="preserve">R-02</t>
  </si>
  <si>
    <t xml:space="preserve">Security &amp; Data Privacy</t>
  </si>
  <si>
    <t xml:space="preserve">Cardholder data in merchant evidence uploads</t>
  </si>
  <si>
    <t xml:space="preserve">Merchants may upload receipts, invoices or screenshots that show full card numbers. If unmasked card numbers are stored, the evidence repository enters PCI DSS scope, triggering remediation work and possible audit findings.</t>
  </si>
  <si>
    <t xml:space="preserve">Compliance Lead</t>
  </si>
  <si>
    <t xml:space="preserve">Tech Lead</t>
  </si>
  <si>
    <t xml:space="preserve">Add upload guidance and file-type limits; run automated card-number detection and redaction on upload; confirm storage design with InfoSec.</t>
  </si>
  <si>
    <t xml:space="preserve">Quarantine flagged files and ask the merchant to resubmit redacted evidence.</t>
  </si>
  <si>
    <t xml:space="preserve">Card-number detection hits during UAT test uploads; InfoSec design review comments.</t>
  </si>
  <si>
    <t xml:space="preserve">D-03</t>
  </si>
  <si>
    <t xml:space="preserve">R-03</t>
  </si>
  <si>
    <t xml:space="preserve">Operations</t>
  </si>
  <si>
    <t xml:space="preserve">Missed dispute response deadlines due to status sync lag</t>
  </si>
  <si>
    <t xml:space="preserve">Dispute status and due dates come from the processor feed. If the feed is delayed or fails silently, merchants see stale deadlines and miss response windows, leading to automatic chargeback losses and complaints.</t>
  </si>
  <si>
    <t xml:space="preserve">Dispute Ops Lead</t>
  </si>
  <si>
    <t xml:space="preserve">Monitor feed freshness with alerts after 2 hours without updates; show a 'last synced' timestamp in the portal; send deadline reminders at 5 and 2 days before due date.</t>
  </si>
  <si>
    <t xml:space="preserve">Ops team contacts affected merchants directly; request deadline extensions where network rules allow.</t>
  </si>
  <si>
    <t xml:space="preserve">Feed latency above 2 hours; spike in 'deadline passed' statuses.</t>
  </si>
  <si>
    <t xml:space="preserve">A-02, D-01</t>
  </si>
  <si>
    <t xml:space="preserve">R-04</t>
  </si>
  <si>
    <t xml:space="preserve">Adoption &amp; Change</t>
  </si>
  <si>
    <t xml:space="preserve">Low merchant adoption of self-service portal</t>
  </si>
  <si>
    <t xml:space="preserve">Merchants currently handle disputes by email and phone. If they don't switch to the portal, manual ops workload stays flat and the business case (lower handling time per dispute) is not realized.</t>
  </si>
  <si>
    <t xml:space="preserve">Pilot with 10 high-volume merchants; in-portal onboarding guide; track activation and evidence-submission rate in Amplitude; phase out email intake after the pilot.</t>
  </si>
  <si>
    <t xml:space="preserve">Extend the pilot and add assisted onboarding through relationship managers.</t>
  </si>
  <si>
    <t xml:space="preserve">Pilot activation below 60% after 4 weeks.</t>
  </si>
  <si>
    <t xml:space="preserve">A-01, I-06</t>
  </si>
  <si>
    <t xml:space="preserve">R-05</t>
  </si>
  <si>
    <t xml:space="preserve">Data</t>
  </si>
  <si>
    <t xml:space="preserve">Legacy settlement data quality affects reports</t>
  </si>
  <si>
    <t xml:space="preserve">Settlement and chargeback data from legacy systems has gaps such as missing merchant IDs and duplicate records. If not cleansed, Power BI reports will show reconciliation mismatches and stakeholders will lose trust in the dashboards.</t>
  </si>
  <si>
    <t xml:space="preserve">Data Analyst</t>
  </si>
  <si>
    <t xml:space="preserve">Data Engineering Lead</t>
  </si>
  <si>
    <t xml:space="preserve">Profile source data; define data quality rules and an exception report; reconcile a sample month against the finance ledger before report sign-off.</t>
  </si>
  <si>
    <t xml:space="preserve">Label affected metrics as provisional and release reports in phases.</t>
  </si>
  <si>
    <t xml:space="preserve">Reconciliation variance above 0.5% in the sample month.</t>
  </si>
  <si>
    <t xml:space="preserve">Monitoring</t>
  </si>
  <si>
    <t xml:space="preserve">D-04, A-06</t>
  </si>
  <si>
    <t xml:space="preserve">R-06</t>
  </si>
  <si>
    <t xml:space="preserve">Resourcing</t>
  </si>
  <si>
    <t xml:space="preserve">Limited SME availability during Q4 peak</t>
  </si>
  <si>
    <t xml:space="preserve">Dispute ops SMEs are needed for process design and UAT, but the Q4 holiday season drives peak dispute volumes. If SMEs are pulled into business-as-usual work, UAT may slip past the planned window.</t>
  </si>
  <si>
    <t xml:space="preserve">Project Manager</t>
  </si>
  <si>
    <t xml:space="preserve">Book SME time for UAT now; record process walkthroughs early; nominate backup SMEs.</t>
  </si>
  <si>
    <t xml:space="preserve">Run UAT in shorter focused sessions or move remaining UAT to early January.</t>
  </si>
  <si>
    <t xml:space="preserve">SME attendance below 50% in two consecutive sessions.</t>
  </si>
  <si>
    <t xml:space="preserve">A-05</t>
  </si>
  <si>
    <t xml:space="preserve">R-07</t>
  </si>
  <si>
    <t xml:space="preserve">Scope</t>
  </si>
  <si>
    <t xml:space="preserve">Scope creep from fraud case management requests</t>
  </si>
  <si>
    <t xml:space="preserve">Stakeholders have asked to add fraud case management to the hub. If accepted into the MVP without trade-offs, sprint capacity will be exceeded and the go-live date will slip.</t>
  </si>
  <si>
    <t xml:space="preserve">Avoid</t>
  </si>
  <si>
    <t xml:space="preserve">Log requests in the backlog as Phase 2 candidates; apply change control with an impact assessment; agree the MVP scope baseline with the sponsor.</t>
  </si>
  <si>
    <t xml:space="preserve">Descope lower-priority MVP stories if a fraud feature is mandated.</t>
  </si>
  <si>
    <t xml:space="preserve">New feature requests raised outside backlog refinement.</t>
  </si>
  <si>
    <t xml:space="preserve">D-07, A-04</t>
  </si>
  <si>
    <t xml:space="preserve">R-08</t>
  </si>
  <si>
    <t xml:space="preserve">Third Party</t>
  </si>
  <si>
    <t xml:space="preserve">Vendor security assessment delay for evidence storage</t>
  </si>
  <si>
    <t xml:space="preserve">The document storage vendor must pass a third-party risk assessment before production use. If the assessment runs long, evidence upload cannot go live.</t>
  </si>
  <si>
    <t xml:space="preserve">Vendor Manager</t>
  </si>
  <si>
    <t xml:space="preserve">Submit the vendor questionnaire early; request the vendor's SOC 2 report up front; identify approved internal storage as a fallback.</t>
  </si>
  <si>
    <t xml:space="preserve">Launch on approved internal storage and migrate later.</t>
  </si>
  <si>
    <t xml:space="preserve">Assessment not started 6 weeks before go-live.</t>
  </si>
  <si>
    <t xml:space="preserve">R-09</t>
  </si>
  <si>
    <t xml:space="preserve">Quality</t>
  </si>
  <si>
    <t xml:space="preserve">Portal performance at peak chargeback volume</t>
  </si>
  <si>
    <t xml:space="preserve">Chargeback volume rises after the holiday season. If the portal and APIs are not load-tested at peak volumes, response times degrade when merchants most need the service.</t>
  </si>
  <si>
    <t xml:space="preserve">QA Lead</t>
  </si>
  <si>
    <t xml:space="preserve">Load test at 3x forecast peak; configure autoscaling; include performance targets in acceptance criteria.</t>
  </si>
  <si>
    <t xml:space="preserve">Throttle non-critical reports during peak and scale infrastructure manually.</t>
  </si>
  <si>
    <t xml:space="preserve">95th percentile API response above 2 seconds in load testing.</t>
  </si>
  <si>
    <t xml:space="preserve">R-10</t>
  </si>
  <si>
    <t xml:space="preserve">Accessibility gaps in merchant portal</t>
  </si>
  <si>
    <t xml:space="preserve">If portal screens don't meet WCAG 2.1 AA, the client may face accessibility complaints and a post-launch remediation effort.</t>
  </si>
  <si>
    <t xml:space="preserve">UX Designer</t>
  </si>
  <si>
    <t xml:space="preserve">Add accessibility checks to Figma design review and the definition of done; run automated and manual audits before UAT.</t>
  </si>
  <si>
    <t xml:space="preserve">Prioritize remediation stories in the first post-launch sprint.</t>
  </si>
  <si>
    <t xml:space="preserve">Audit finds critical accessibility defects.</t>
  </si>
  <si>
    <t xml:space="preserve">Assumptions Log</t>
  </si>
  <si>
    <t xml:space="preserve">Basis / Source</t>
  </si>
  <si>
    <t xml:space="preserve">Impact if False</t>
  </si>
  <si>
    <t xml:space="preserve">Validation Owner</t>
  </si>
  <si>
    <t xml:space="preserve">Validation Method</t>
  </si>
  <si>
    <t xml:space="preserve">Validate By</t>
  </si>
  <si>
    <t xml:space="preserve">Overdue?</t>
  </si>
  <si>
    <t xml:space="preserve">Outcome / Notes</t>
  </si>
  <si>
    <t xml:space="preserve">A-01</t>
  </si>
  <si>
    <t xml:space="preserve">Adoption</t>
  </si>
  <si>
    <t xml:space="preserve">Merchants will submit dispute evidence through the portal instead of email.</t>
  </si>
  <si>
    <t xml:space="preserve">Discovery interviews: merchants asked for status visibility and fewer email exchanges.</t>
  </si>
  <si>
    <t xml:space="preserve">Adoption and ops efficiency benefits are not met (see R-04).</t>
  </si>
  <si>
    <t xml:space="preserve">Pilot with 10 merchants; measure share of evidence submitted via the portal.</t>
  </si>
  <si>
    <t xml:space="preserve">Validating</t>
  </si>
  <si>
    <t xml:space="preserve">Pilot merchant list agreed; onboarding in progress.</t>
  </si>
  <si>
    <t xml:space="preserve">A-02</t>
  </si>
  <si>
    <t xml:space="preserve">Technical</t>
  </si>
  <si>
    <t xml:space="preserve">The processor dispute API sends near-real-time status updates through webhooks.</t>
  </si>
  <si>
    <t xml:space="preserve">Processor API documentation reviewed during discovery.</t>
  </si>
  <si>
    <t xml:space="preserve">A polling design is needed and the stale-deadline risk (R-03) increases.</t>
  </si>
  <si>
    <t xml:space="preserve">Measure webhook latency in sandbox and a production-like environment.</t>
  </si>
  <si>
    <t xml:space="preserve">Sandbox testing in progress; status inconsistencies logged as I-01.</t>
  </si>
  <si>
    <t xml:space="preserve">R-03, I-01, D-01</t>
  </si>
  <si>
    <t xml:space="preserve">A-03</t>
  </si>
  <si>
    <t xml:space="preserve">The existing identity platform supports merchant role-based access (Admin, Finance, Operations).</t>
  </si>
  <si>
    <t xml:space="preserve">IAM team confirmed the role model is already used for other merchant tools.</t>
  </si>
  <si>
    <t xml:space="preserve">Custom role management must be built, adding roughly 2 sprints.</t>
  </si>
  <si>
    <t xml:space="preserve">IAM Lead</t>
  </si>
  <si>
    <t xml:space="preserve">Walk through role configuration with the IAM team.</t>
  </si>
  <si>
    <t xml:space="preserve">Confirmed</t>
  </si>
  <si>
    <t xml:space="preserve">Confirmed in IAM workshop on 04-Sep-2026.</t>
  </si>
  <si>
    <t xml:space="preserve">D-02</t>
  </si>
  <si>
    <t xml:space="preserve">A-04</t>
  </si>
  <si>
    <t xml:space="preserve">The MVP supports a single currency (USD) and English only.</t>
  </si>
  <si>
    <t xml:space="preserve">Agreed in scope workshop to limit MVP complexity.</t>
  </si>
  <si>
    <t xml:space="preserve">Multi-currency views and localization would be needed, increasing effort and timeline.</t>
  </si>
  <si>
    <t xml:space="preserve">Business Sponsor</t>
  </si>
  <si>
    <t xml:space="preserve">Confirm at scope baseline sign-off.</t>
  </si>
  <si>
    <t xml:space="preserve">Unvalidated</t>
  </si>
  <si>
    <t xml:space="preserve">Dispute ops headcount stays the same during the MVP.</t>
  </si>
  <si>
    <t xml:space="preserve">Current approved budget plan.</t>
  </si>
  <si>
    <t xml:space="preserve">Training plans and capacity estimates would need to change.</t>
  </si>
  <si>
    <t xml:space="preserve">Confirm headcount plan with ops leadership.</t>
  </si>
  <si>
    <t xml:space="preserve">A-06</t>
  </si>
  <si>
    <t xml:space="preserve">12 months of historical dispute data is available for baseline KPIs.</t>
  </si>
  <si>
    <t xml:space="preserve">Data team indicated archive retention covers at least 12 months.</t>
  </si>
  <si>
    <t xml:space="preserve">Baseline win rate and handling time can't be measured, weakening benefits tracking.</t>
  </si>
  <si>
    <t xml:space="preserve">Run a data availability query against the warehouse.</t>
  </si>
  <si>
    <t xml:space="preserve">A-07</t>
  </si>
  <si>
    <t xml:space="preserve">Compliance</t>
  </si>
  <si>
    <t xml:space="preserve">Dispute evidence can follow the existing records retention policy; no new policy is needed.</t>
  </si>
  <si>
    <t xml:space="preserve">Similar document types are already covered by the records policy.</t>
  </si>
  <si>
    <t xml:space="preserve">New retention rules would need legal review and storage design changes.</t>
  </si>
  <si>
    <t xml:space="preserve">Legal Counsel</t>
  </si>
  <si>
    <t xml:space="preserve">Legal review of the retention policy against dispute evidence types.</t>
  </si>
  <si>
    <t xml:space="preserve">D-05</t>
  </si>
  <si>
    <t xml:space="preserve">Issues Log</t>
  </si>
  <si>
    <t xml:space="preserve">Issue Title</t>
  </si>
  <si>
    <t xml:space="preserve">Description</t>
  </si>
  <si>
    <t xml:space="preserve">Impact on Delivery</t>
  </si>
  <si>
    <t xml:space="preserve">Priority</t>
  </si>
  <si>
    <t xml:space="preserve">Action Plan</t>
  </si>
  <si>
    <t xml:space="preserve">Target Resolution</t>
  </si>
  <si>
    <t xml:space="preserve">Escalated To</t>
  </si>
  <si>
    <t xml:space="preserve">Days Open</t>
  </si>
  <si>
    <t xml:space="preserve">Resolution Notes</t>
  </si>
  <si>
    <t xml:space="preserve">I-01</t>
  </si>
  <si>
    <t xml:space="preserve">Sandbox returns inconsistent dispute status values</t>
  </si>
  <si>
    <t xml:space="preserve">The processor sandbox returns different status values for the same dispute stage (for example UNDER_REVIEW and IN_REVIEW).</t>
  </si>
  <si>
    <t xml:space="preserve">Integration testing of status-tracking stories in Sprint 4 is blocked.</t>
  </si>
  <si>
    <t xml:space="preserve">Vendor ticket raised; build a status normalization layer; stub responses to unblock testing.</t>
  </si>
  <si>
    <t xml:space="preserve">In Progress</t>
  </si>
  <si>
    <t xml:space="preserve">Unmapped dispute reason codes</t>
  </si>
  <si>
    <t xml:space="preserve">14 reason codes in the mapping table have no internal category, so these disputes can't be routed or reported correctly.</t>
  </si>
  <si>
    <t xml:space="preserve">Routing logic and reason-code reporting are incomplete; Sprint 4 story acceptance at risk.</t>
  </si>
  <si>
    <t xml:space="preserve">Business Analyst</t>
  </si>
  <si>
    <t xml:space="preserve">Mapping workshop with dispute ops; route unmapped codes to a manual review queue in the meantime.</t>
  </si>
  <si>
    <t xml:space="preserve">I-03</t>
  </si>
  <si>
    <t xml:space="preserve">Design</t>
  </si>
  <si>
    <t xml:space="preserve">Figma MVP screens awaiting merchant ops sign-off</t>
  </si>
  <si>
    <t xml:space="preserve">Evidence upload and dispute detail screens have been awaiting stakeholder review for two weeks.</t>
  </si>
  <si>
    <t xml:space="preserve">Sprint 5 refinement is blocked; development risks starting on unapproved designs.</t>
  </si>
  <si>
    <t xml:space="preserve">Time-boxed 45-minute review booked; escalated to sponsor for sign-off by target date.</t>
  </si>
  <si>
    <t xml:space="preserve">Escalated</t>
  </si>
  <si>
    <t xml:space="preserve">I-04</t>
  </si>
  <si>
    <t xml:space="preserve">Environment</t>
  </si>
  <si>
    <t xml:space="preserve">Test environment lacks masked production-like data</t>
  </si>
  <si>
    <t xml:space="preserve">The UAT environment has only synthetic data that doesn't reflect real dispute patterns.</t>
  </si>
  <si>
    <t xml:space="preserve">Edge cases such as partial refunds and second-cycle disputes can't be tested.</t>
  </si>
  <si>
    <t xml:space="preserve">Request a masked data extract; build a targeted synthetic data set for edge cases in the meantime.</t>
  </si>
  <si>
    <t xml:space="preserve">Business Rules</t>
  </si>
  <si>
    <t xml:space="preserve">No agreed definition of dispute 'won' and 'lost'</t>
  </si>
  <si>
    <t xml:space="preserve">Finance counts partially reversed disputes as lost; dispute ops counts them as won.</t>
  </si>
  <si>
    <t xml:space="preserve">The win-rate KPI in Power BI can't be finalized; reporting story acceptance criteria remain open.</t>
  </si>
  <si>
    <t xml:space="preserve">Decision meeting with finance and ops leads; record the agreed definition in the data dictionary.</t>
  </si>
  <si>
    <t xml:space="preserve">I-06</t>
  </si>
  <si>
    <t xml:space="preserve">Governance</t>
  </si>
  <si>
    <t xml:space="preserve">Analytics tracking plan awaiting data governance approval</t>
  </si>
  <si>
    <t xml:space="preserve">The Amplitude event tracking plan for the portal has not yet been approved by data governance.</t>
  </si>
  <si>
    <t xml:space="preserve">Product analytics can't be instrumented; pilot adoption measurement (R-04) at risk.</t>
  </si>
  <si>
    <t xml:space="preserve">Product Analyst</t>
  </si>
  <si>
    <t xml:space="preserve">Submit plan for privacy review; remove merchant-identifying event properties that aren't required.</t>
  </si>
  <si>
    <t xml:space="preserve">I-07</t>
  </si>
  <si>
    <t xml:space="preserve">Access</t>
  </si>
  <si>
    <t xml:space="preserve">New vendor engineers lacked Jira and Confluence access</t>
  </si>
  <si>
    <t xml:space="preserve">Two vendor engineers could not access the backlog or documentation in their first week.</t>
  </si>
  <si>
    <t xml:space="preserve">Lost onboarding time in Sprint 3.</t>
  </si>
  <si>
    <t xml:space="preserve">Scrum Master</t>
  </si>
  <si>
    <t xml:space="preserve">Raised access requests with IT service desk and added access setup to the onboarding checklist.</t>
  </si>
  <si>
    <t xml:space="preserve">Closed</t>
  </si>
  <si>
    <t xml:space="preserve">Access granted 27-Aug-2026; onboarding checklist updated.</t>
  </si>
  <si>
    <t xml:space="preserve">Dependencies Log</t>
  </si>
  <si>
    <t xml:space="preserve">Direction</t>
  </si>
  <si>
    <t xml:space="preserve">Dependency Title</t>
  </si>
  <si>
    <t xml:space="preserve">Provider (Team / Vendor)</t>
  </si>
  <si>
    <t xml:space="preserve">Receiver</t>
  </si>
  <si>
    <t xml:space="preserve">Project Owner</t>
  </si>
  <si>
    <t xml:space="preserve">Needed By</t>
  </si>
  <si>
    <t xml:space="preserve">Committed Date</t>
  </si>
  <si>
    <t xml:space="preserve">Slippage (days)</t>
  </si>
  <si>
    <t xml:space="preserve">Impact if Late</t>
  </si>
  <si>
    <t xml:space="preserve">Criticality</t>
  </si>
  <si>
    <t xml:space="preserve">Mitigation / Next Step</t>
  </si>
  <si>
    <t xml:space="preserve">D-01</t>
  </si>
  <si>
    <t xml:space="preserve">Inbound</t>
  </si>
  <si>
    <t xml:space="preserve">Processor dispute API production access</t>
  </si>
  <si>
    <t xml:space="preserve">Production credentials and allow-listing needed to connect to the processor dispute API.</t>
  </si>
  <si>
    <t xml:space="preserve">Payment processor (third party)</t>
  </si>
  <si>
    <t xml:space="preserve">Project team</t>
  </si>
  <si>
    <t xml:space="preserve">Go-live integration testing is compressed by one week.</t>
  </si>
  <si>
    <t xml:space="preserve">At Risk</t>
  </si>
  <si>
    <t xml:space="preserve">Weekly vendor call; request early allow-listing of test merchant IDs.</t>
  </si>
  <si>
    <t xml:space="preserve">R-03, I-01</t>
  </si>
  <si>
    <t xml:space="preserve">Merchant roles configured in identity platform</t>
  </si>
  <si>
    <t xml:space="preserve">Admin, Finance and Operations roles set up for portal users.</t>
  </si>
  <si>
    <t xml:space="preserve">IAM team</t>
  </si>
  <si>
    <t xml:space="preserve">Portal login and permissions can't be tested.</t>
  </si>
  <si>
    <t xml:space="preserve">On Track</t>
  </si>
  <si>
    <t xml:space="preserve">Joint checkpoint every Tuesday.</t>
  </si>
  <si>
    <t xml:space="preserve">Penetration test before UAT</t>
  </si>
  <si>
    <t xml:space="preserve">Security testing of the portal and evidence upload service, required before UAT sign-off.</t>
  </si>
  <si>
    <t xml:space="preserve">InfoSec</t>
  </si>
  <si>
    <t xml:space="preserve">UAT start delayed; go-live security sign-off at risk.</t>
  </si>
  <si>
    <t xml:space="preserve">Critical</t>
  </si>
  <si>
    <t xml:space="preserve">Requested a priority testing slot; leadership support requested (see Dashboard).</t>
  </si>
  <si>
    <t xml:space="preserve">D-04</t>
  </si>
  <si>
    <t xml:space="preserve">Settlement data pipeline to reporting warehouse</t>
  </si>
  <si>
    <t xml:space="preserve">Daily load of settlement and chargeback data into the warehouse used by Power BI.</t>
  </si>
  <si>
    <t xml:space="preserve">Data Engineering</t>
  </si>
  <si>
    <t xml:space="preserve">Power BI reports can only be built and tested on sample data.</t>
  </si>
  <si>
    <t xml:space="preserve">Data quality rules agreed as part of pipeline acceptance.</t>
  </si>
  <si>
    <t xml:space="preserve">Legal sign-off on merchant portal terms of use</t>
  </si>
  <si>
    <t xml:space="preserve">Approved terms covering evidence submission and data use in the portal.</t>
  </si>
  <si>
    <t xml:space="preserve">Legal &amp; Compliance</t>
  </si>
  <si>
    <t xml:space="preserve">Pilot merchants can't be onboarded.</t>
  </si>
  <si>
    <t xml:space="preserve">Not Started</t>
  </si>
  <si>
    <t xml:space="preserve">Draft terms shared 08-Sep-2026; awaiting legal review slot.</t>
  </si>
  <si>
    <t xml:space="preserve">D-06</t>
  </si>
  <si>
    <t xml:space="preserve">Outbound</t>
  </si>
  <si>
    <t xml:space="preserve">Dispute status API for servicing agent console</t>
  </si>
  <si>
    <t xml:space="preserve">Servicing agents need dispute status to answer merchant calls without transferring to dispute ops.</t>
  </si>
  <si>
    <t xml:space="preserve">Customer Servicing</t>
  </si>
  <si>
    <t xml:space="preserve">Agents can't see dispute status; call handling time stays high.</t>
  </si>
  <si>
    <t xml:space="preserve">API contract shared; joint review at end of Sprint 5.</t>
  </si>
  <si>
    <t xml:space="preserve">D-07</t>
  </si>
  <si>
    <t xml:space="preserve">Fraud case-ID service for dispute linking</t>
  </si>
  <si>
    <t xml:space="preserve">Service that links a dispute to an existing fraud case.</t>
  </si>
  <si>
    <t xml:space="preserve">Fraud Platform team</t>
  </si>
  <si>
    <t xml:space="preserve">Dispute-to-fraud linking moves out of the MVP.</t>
  </si>
  <si>
    <t xml:space="preserve">Late</t>
  </si>
  <si>
    <t xml:space="preserve">Proposed deferral of linking to Phase 2; tracked in joint sync.</t>
  </si>
</sst>
</file>

<file path=xl/styles.xml><?xml version="1.0" encoding="utf-8"?>
<styleSheet xmlns="http://schemas.openxmlformats.org/spreadsheetml/2006/main">
  <numFmts count="3">
    <numFmt numFmtId="164" formatCode="General"/>
    <numFmt numFmtId="165" formatCode="dd\-mmm\-yyyy"/>
    <numFmt numFmtId="166" formatCode="General"/>
  </numFmts>
  <fonts count="19">
    <font>
      <sz val="11"/>
      <color theme="1"/>
      <name val="Calibri"/>
      <family val="2"/>
      <charset val="1"/>
    </font>
    <font>
      <sz val="10"/>
      <name val="Arial"/>
      <family val="0"/>
    </font>
    <font>
      <sz val="10"/>
      <name val="Arial"/>
      <family val="0"/>
    </font>
    <font>
      <sz val="10"/>
      <name val="Arial"/>
      <family val="0"/>
    </font>
    <font>
      <b val="true"/>
      <sz val="24"/>
      <color rgb="FF1F3A5F"/>
      <name val="Arial"/>
      <family val="0"/>
      <charset val="1"/>
    </font>
    <font>
      <b val="true"/>
      <sz val="14"/>
      <color rgb="FF2E7D8C"/>
      <name val="Arial"/>
      <family val="0"/>
      <charset val="1"/>
    </font>
    <font>
      <b val="true"/>
      <sz val="10"/>
      <color rgb="FF1F3A5F"/>
      <name val="Arial"/>
      <family val="0"/>
      <charset val="1"/>
    </font>
    <font>
      <sz val="10"/>
      <color rgb="FF000000"/>
      <name val="Arial"/>
      <family val="0"/>
      <charset val="1"/>
    </font>
    <font>
      <i val="true"/>
      <sz val="10"/>
      <color rgb="FF9C0006"/>
      <name val="Arial"/>
      <family val="0"/>
      <charset val="1"/>
    </font>
    <font>
      <b val="true"/>
      <sz val="12"/>
      <color rgb="FFFFFFFF"/>
      <name val="Arial"/>
      <family val="0"/>
      <charset val="1"/>
    </font>
    <font>
      <b val="true"/>
      <sz val="10"/>
      <color rgb="FF000000"/>
      <name val="Arial"/>
      <family val="0"/>
      <charset val="1"/>
    </font>
    <font>
      <b val="true"/>
      <sz val="18"/>
      <color rgb="FF1F3A5F"/>
      <name val="Arial"/>
      <family val="0"/>
      <charset val="1"/>
    </font>
    <font>
      <i val="true"/>
      <sz val="10"/>
      <color rgb="FF595959"/>
      <name val="Arial"/>
      <family val="0"/>
      <charset val="1"/>
    </font>
    <font>
      <b val="true"/>
      <sz val="11"/>
      <color rgb="FF9C0006"/>
      <name val="Arial"/>
      <family val="0"/>
      <charset val="1"/>
    </font>
    <font>
      <b val="true"/>
      <sz val="9"/>
      <color rgb="FF000000"/>
      <name val="Arial"/>
      <family val="0"/>
      <charset val="1"/>
    </font>
    <font>
      <b val="true"/>
      <sz val="11"/>
      <color rgb="FF000000"/>
      <name val="Arial"/>
      <family val="0"/>
      <charset val="1"/>
    </font>
    <font>
      <b val="true"/>
      <sz val="16"/>
      <color rgb="FF1F3A5F"/>
      <name val="Arial"/>
      <family val="0"/>
      <charset val="1"/>
    </font>
    <font>
      <i val="true"/>
      <sz val="9"/>
      <color rgb="FF7F7F7F"/>
      <name val="Arial"/>
      <family val="0"/>
      <charset val="1"/>
    </font>
    <font>
      <b val="true"/>
      <sz val="10"/>
      <color rgb="FFFFFFFF"/>
      <name val="Arial"/>
      <family val="0"/>
      <charset val="1"/>
    </font>
  </fonts>
  <fills count="9">
    <fill>
      <patternFill patternType="none"/>
    </fill>
    <fill>
      <patternFill patternType="gray125"/>
    </fill>
    <fill>
      <patternFill patternType="solid">
        <fgColor rgb="FF1F3A5F"/>
        <bgColor rgb="FF333333"/>
      </patternFill>
    </fill>
    <fill>
      <patternFill patternType="solid">
        <fgColor rgb="FFD9D9D9"/>
        <bgColor rgb="FFC5E0B3"/>
      </patternFill>
    </fill>
    <fill>
      <patternFill patternType="solid">
        <fgColor rgb="FFC5E0B3"/>
        <bgColor rgb="FFC6EFCE"/>
      </patternFill>
    </fill>
    <fill>
      <patternFill patternType="solid">
        <fgColor rgb="FFFFE699"/>
        <bgColor rgb="FFFFEB9C"/>
      </patternFill>
    </fill>
    <fill>
      <patternFill patternType="solid">
        <fgColor rgb="FFF4B183"/>
        <bgColor rgb="FFFFC7CE"/>
      </patternFill>
    </fill>
    <fill>
      <patternFill patternType="solid">
        <fgColor rgb="FF2E7D8C"/>
        <bgColor rgb="FF00808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5" fontId="7" fillId="0" borderId="0" xfId="0" applyFont="true" applyBorder="true" applyAlignment="true" applyProtection="false">
      <alignment horizontal="left" vertical="top"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center"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true" applyProtection="false">
      <alignment horizontal="left"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6" fontId="13"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4" fontId="14" fillId="3" borderId="1" xfId="0" applyFont="true" applyBorder="true" applyAlignment="true" applyProtection="false">
      <alignment horizontal="center" vertical="top" textRotation="0" wrapText="true" indent="0" shrinkToFit="false"/>
      <protection locked="true" hidden="false"/>
    </xf>
    <xf numFmtId="164" fontId="10" fillId="3" borderId="1" xfId="0" applyFont="true" applyBorder="true" applyAlignment="true" applyProtection="false">
      <alignment horizontal="left" vertical="center" textRotation="0" wrapText="false" indent="0" shrinkToFit="false"/>
      <protection locked="true" hidden="false"/>
    </xf>
    <xf numFmtId="166" fontId="15" fillId="4" borderId="1" xfId="0" applyFont="true" applyBorder="true" applyAlignment="true" applyProtection="false">
      <alignment horizontal="center" vertical="center" textRotation="0" wrapText="false" indent="0" shrinkToFit="false"/>
      <protection locked="true" hidden="false"/>
    </xf>
    <xf numFmtId="166" fontId="15" fillId="5" borderId="1" xfId="0" applyFont="true" applyBorder="true" applyAlignment="true" applyProtection="false">
      <alignment horizontal="center" vertical="center" textRotation="0" wrapText="false" indent="0" shrinkToFit="false"/>
      <protection locked="true" hidden="false"/>
    </xf>
    <xf numFmtId="166" fontId="15" fillId="6" borderId="1" xfId="0" applyFont="true" applyBorder="true" applyAlignment="true" applyProtection="false">
      <alignment horizontal="center" vertical="center" textRotation="0" wrapText="false" indent="0" shrinkToFit="false"/>
      <protection locked="true" hidden="false"/>
    </xf>
    <xf numFmtId="164" fontId="14" fillId="6" borderId="1" xfId="0" applyFont="true" applyBorder="true" applyAlignment="true" applyProtection="false">
      <alignment horizontal="center" vertical="top" textRotation="0" wrapText="true" indent="0" shrinkToFit="false"/>
      <protection locked="true" hidden="false"/>
    </xf>
    <xf numFmtId="164" fontId="14" fillId="5" borderId="1" xfId="0" applyFont="true" applyBorder="true" applyAlignment="true" applyProtection="false">
      <alignment horizontal="center" vertical="top" textRotation="0" wrapText="true" indent="0" shrinkToFit="false"/>
      <protection locked="true" hidden="false"/>
    </xf>
    <xf numFmtId="164" fontId="14" fillId="4" borderId="1" xfId="0" applyFont="true" applyBorder="true" applyAlignment="true" applyProtection="false">
      <alignment horizontal="center" vertical="top"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2" borderId="1" xfId="0" applyFont="true" applyBorder="true" applyAlignment="true" applyProtection="false">
      <alignment horizontal="center" vertical="center" textRotation="0" wrapText="true" indent="0" shrinkToFit="false"/>
      <protection locked="true" hidden="false"/>
    </xf>
    <xf numFmtId="164" fontId="18" fillId="7" borderId="1" xfId="0" applyFont="true" applyBorder="true" applyAlignment="true" applyProtection="false">
      <alignment horizontal="center" vertical="center" textRotation="0" wrapText="true" indent="0" shrinkToFit="false"/>
      <protection locked="true" hidden="false"/>
    </xf>
    <xf numFmtId="166" fontId="7" fillId="8" borderId="1" xfId="0" applyFont="true" applyBorder="true" applyAlignment="true" applyProtection="false">
      <alignment horizontal="center" vertical="top" textRotation="0" wrapText="true" indent="0" shrinkToFit="false"/>
      <protection locked="true" hidden="false"/>
    </xf>
    <xf numFmtId="164" fontId="7" fillId="8" borderId="1"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ont>
        <name val="Arial"/>
        <charset val="1"/>
        <family val="0"/>
        <b val="1"/>
        <color rgb="FF9C0006"/>
        <sz val="10"/>
      </font>
      <fill>
        <patternFill>
          <bgColor rgb="FFFFC7CE"/>
        </patternFill>
      </fill>
    </dxf>
    <dxf>
      <font>
        <name val="Arial"/>
        <charset val="1"/>
        <family val="0"/>
        <b val="1"/>
        <color rgb="FF9C5700"/>
        <sz val="10"/>
      </font>
      <fill>
        <patternFill>
          <bgColor rgb="FFFFEB9C"/>
        </patternFill>
      </fill>
    </dxf>
    <dxf>
      <font>
        <name val="Arial"/>
        <charset val="1"/>
        <family val="0"/>
        <b val="1"/>
        <color rgb="FF006100"/>
        <sz val="10"/>
      </font>
      <fill>
        <patternFill>
          <bgColor rgb="FFC6EFCE"/>
        </patternFill>
      </fill>
    </dxf>
    <dxf>
      <font>
        <name val="Arial"/>
        <charset val="1"/>
        <family val="0"/>
        <color rgb="FFA6A6A6"/>
        <sz val="11"/>
      </font>
    </dxf>
    <dxf>
      <fill>
        <patternFill patternType="solid">
          <fgColor rgb="FF1F3A5F"/>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2E7D8C"/>
          <bgColor rgb="FF000000"/>
        </patternFill>
      </fill>
    </dxf>
    <dxf>
      <fill>
        <patternFill patternType="solid">
          <fgColor rgb="FFF2F2F2"/>
          <bgColor rgb="FF000000"/>
        </patternFill>
      </fill>
    </dxf>
    <dxf>
      <fill>
        <patternFill patternType="solid">
          <fgColor rgb="FFC6EFCE"/>
          <bgColor rgb="FF000000"/>
        </patternFill>
      </fill>
    </dxf>
    <dxf>
      <fill>
        <patternFill patternType="solid">
          <fgColor rgb="FFFFC7CE"/>
          <bgColor rgb="FF000000"/>
        </patternFill>
      </fill>
    </dxf>
    <dxf>
      <fill>
        <patternFill patternType="solid">
          <fgColor rgb="FFFFEB9C"/>
          <bgColor rgb="FF000000"/>
        </patternFill>
      </fill>
    </dxf>
    <dxf>
      <fill>
        <patternFill patternType="solid">
          <fgColor rgb="FF006100"/>
          <bgColor rgb="FF000000"/>
        </patternFill>
      </fill>
    </dxf>
    <dxf>
      <fill>
        <patternFill patternType="solid">
          <fgColor rgb="FF9C0006"/>
          <bgColor rgb="FF000000"/>
        </patternFill>
      </fill>
    </dxf>
    <dxf>
      <fill>
        <patternFill patternType="solid">
          <fgColor rgb="FF9C5700"/>
          <bgColor rgb="FF000000"/>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BFBFBF"/>
      <rgbColor rgb="FF7F7F7F"/>
      <rgbColor rgb="FF9999FF"/>
      <rgbColor rgb="FF993366"/>
      <rgbColor rgb="FFF2F2F2"/>
      <rgbColor rgb="FFC5E0B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FE699"/>
      <rgbColor rgb="FFC6EFCE"/>
      <rgbColor rgb="FFFFEB9C"/>
      <rgbColor rgb="FF99CCFF"/>
      <rgbColor rgb="FFF4B183"/>
      <rgbColor rgb="FFCC99FF"/>
      <rgbColor rgb="FFFFC7CE"/>
      <rgbColor rgb="FF3366FF"/>
      <rgbColor rgb="FF33CCCC"/>
      <rgbColor rgb="FF99CC00"/>
      <rgbColor rgb="FFFFCC00"/>
      <rgbColor rgb="FFFF9900"/>
      <rgbColor rgb="FFFF6600"/>
      <rgbColor rgb="FF595959"/>
      <rgbColor rgb="FFA6A6A6"/>
      <rgbColor rgb="FF1F3A5F"/>
      <rgbColor rgb="FF2E7D8C"/>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8"/>
    <col collapsed="false" customWidth="true" hidden="false" outlineLevel="0" max="4" min="4" style="0" width="48"/>
    <col collapsed="false" customWidth="true" hidden="false" outlineLevel="0" max="7" min="5" style="0" width="18"/>
  </cols>
  <sheetData>
    <row r="2" customFormat="false" ht="29.15" hidden="false" customHeight="false" outlineLevel="0" collapsed="false">
      <c r="B2" s="1" t="s">
        <v>0</v>
      </c>
    </row>
    <row r="3" customFormat="false" ht="17.35" hidden="false" customHeight="false" outlineLevel="0" collapsed="false">
      <c r="B3" s="2" t="s">
        <v>1</v>
      </c>
    </row>
    <row r="5" customFormat="false" ht="15" hidden="false" customHeight="true" outlineLevel="0" collapsed="false">
      <c r="B5" s="3" t="s">
        <v>2</v>
      </c>
      <c r="C5" s="4" t="s">
        <v>3</v>
      </c>
      <c r="D5" s="4"/>
      <c r="E5" s="4"/>
      <c r="F5" s="4"/>
      <c r="G5" s="4"/>
    </row>
    <row r="6" customFormat="false" ht="15" hidden="false" customHeight="true" outlineLevel="0" collapsed="false">
      <c r="B6" s="3" t="s">
        <v>4</v>
      </c>
      <c r="C6" s="4" t="s">
        <v>5</v>
      </c>
      <c r="D6" s="4"/>
      <c r="E6" s="4"/>
      <c r="F6" s="4"/>
      <c r="G6" s="4"/>
    </row>
    <row r="7" customFormat="false" ht="15" hidden="false" customHeight="false" outlineLevel="0" collapsed="false">
      <c r="B7" s="3" t="s">
        <v>6</v>
      </c>
      <c r="C7" s="5" t="n">
        <v>46275</v>
      </c>
      <c r="D7" s="5"/>
      <c r="E7" s="5"/>
      <c r="F7" s="5"/>
      <c r="G7" s="5"/>
    </row>
    <row r="8" customFormat="false" ht="15" hidden="false" customHeight="true" outlineLevel="0" collapsed="false">
      <c r="B8" s="3" t="s">
        <v>7</v>
      </c>
      <c r="C8" s="4" t="s">
        <v>8</v>
      </c>
      <c r="D8" s="4"/>
      <c r="E8" s="4"/>
      <c r="F8" s="4"/>
      <c r="G8" s="4"/>
    </row>
    <row r="9" customFormat="false" ht="15" hidden="false" customHeight="true" outlineLevel="0" collapsed="false">
      <c r="B9" s="3" t="s">
        <v>9</v>
      </c>
      <c r="C9" s="4" t="s">
        <v>10</v>
      </c>
      <c r="D9" s="4"/>
      <c r="E9" s="4"/>
      <c r="F9" s="4"/>
      <c r="G9" s="4"/>
    </row>
    <row r="10" customFormat="false" ht="15" hidden="false" customHeight="true" outlineLevel="0" collapsed="false">
      <c r="B10" s="3" t="s">
        <v>11</v>
      </c>
      <c r="C10" s="4" t="s">
        <v>12</v>
      </c>
      <c r="D10" s="4"/>
      <c r="E10" s="4"/>
      <c r="F10" s="4"/>
      <c r="G10" s="4"/>
    </row>
    <row r="11" customFormat="false" ht="30" hidden="false" customHeight="true" outlineLevel="0" collapsed="false">
      <c r="B11" s="3" t="s">
        <v>13</v>
      </c>
      <c r="C11" s="6" t="s">
        <v>14</v>
      </c>
      <c r="D11" s="6"/>
      <c r="E11" s="6"/>
      <c r="F11" s="6"/>
      <c r="G11" s="6"/>
    </row>
    <row r="13" customFormat="false" ht="19.5" hidden="false" customHeight="true" outlineLevel="0" collapsed="false">
      <c r="B13" s="7" t="s">
        <v>15</v>
      </c>
      <c r="C13" s="8"/>
      <c r="D13" s="8"/>
      <c r="E13" s="8"/>
      <c r="F13" s="8"/>
      <c r="G13" s="8"/>
    </row>
    <row r="14" customFormat="false" ht="45.75" hidden="false" customHeight="true" outlineLevel="0" collapsed="false">
      <c r="B14" s="4" t="s">
        <v>16</v>
      </c>
      <c r="C14" s="4"/>
      <c r="D14" s="4"/>
      <c r="E14" s="4"/>
      <c r="F14" s="4"/>
      <c r="G14" s="4"/>
    </row>
    <row r="16" customFormat="false" ht="19.5" hidden="false" customHeight="true" outlineLevel="0" collapsed="false">
      <c r="B16" s="7" t="s">
        <v>17</v>
      </c>
      <c r="C16" s="8"/>
      <c r="D16" s="8"/>
      <c r="E16" s="8"/>
      <c r="F16" s="8"/>
      <c r="G16" s="8"/>
    </row>
    <row r="17" customFormat="false" ht="15" hidden="false" customHeight="true" outlineLevel="0" collapsed="false">
      <c r="B17" s="9" t="s">
        <v>18</v>
      </c>
      <c r="C17" s="9" t="s">
        <v>19</v>
      </c>
      <c r="D17" s="9"/>
      <c r="E17" s="9"/>
      <c r="F17" s="9"/>
      <c r="G17" s="9"/>
    </row>
    <row r="18" customFormat="false" ht="18" hidden="false" customHeight="true" outlineLevel="0" collapsed="false">
      <c r="B18" s="10" t="s">
        <v>20</v>
      </c>
      <c r="C18" s="10" t="s">
        <v>21</v>
      </c>
      <c r="D18" s="10"/>
      <c r="E18" s="10"/>
      <c r="F18" s="10"/>
      <c r="G18" s="10"/>
    </row>
    <row r="19" customFormat="false" ht="18" hidden="false" customHeight="true" outlineLevel="0" collapsed="false">
      <c r="B19" s="10" t="s">
        <v>22</v>
      </c>
      <c r="C19" s="10" t="s">
        <v>23</v>
      </c>
      <c r="D19" s="10"/>
      <c r="E19" s="10"/>
      <c r="F19" s="10"/>
      <c r="G19" s="10"/>
    </row>
    <row r="20" customFormat="false" ht="18" hidden="false" customHeight="true" outlineLevel="0" collapsed="false">
      <c r="B20" s="10" t="s">
        <v>24</v>
      </c>
      <c r="C20" s="10" t="s">
        <v>25</v>
      </c>
      <c r="D20" s="10"/>
      <c r="E20" s="10"/>
      <c r="F20" s="10"/>
      <c r="G20" s="10"/>
    </row>
    <row r="21" customFormat="false" ht="31.5" hidden="false" customHeight="true" outlineLevel="0" collapsed="false">
      <c r="B21" s="10" t="s">
        <v>26</v>
      </c>
      <c r="C21" s="10" t="s">
        <v>27</v>
      </c>
      <c r="D21" s="10"/>
      <c r="E21" s="10"/>
      <c r="F21" s="10"/>
      <c r="G21" s="10"/>
    </row>
    <row r="23" customFormat="false" ht="19.5" hidden="false" customHeight="true" outlineLevel="0" collapsed="false">
      <c r="B23" s="7" t="s">
        <v>28</v>
      </c>
      <c r="C23" s="8"/>
      <c r="D23" s="8"/>
      <c r="E23" s="8"/>
      <c r="F23" s="8"/>
      <c r="G23" s="8"/>
    </row>
    <row r="24" customFormat="false" ht="30" hidden="false" customHeight="true" outlineLevel="0" collapsed="false">
      <c r="B24" s="4" t="s">
        <v>29</v>
      </c>
      <c r="C24" s="4"/>
      <c r="D24" s="4"/>
      <c r="E24" s="4"/>
      <c r="F24" s="4"/>
      <c r="G24" s="4"/>
    </row>
    <row r="25" customFormat="false" ht="15" hidden="false" customHeight="true" outlineLevel="0" collapsed="false">
      <c r="B25" s="9" t="s">
        <v>30</v>
      </c>
      <c r="C25" s="9" t="s">
        <v>31</v>
      </c>
      <c r="D25" s="9"/>
      <c r="E25" s="9" t="s">
        <v>32</v>
      </c>
      <c r="F25" s="9"/>
      <c r="G25" s="9"/>
    </row>
    <row r="26" customFormat="false" ht="21.75" hidden="false" customHeight="true" outlineLevel="0" collapsed="false">
      <c r="B26" s="11" t="n">
        <v>1</v>
      </c>
      <c r="C26" s="10" t="s">
        <v>33</v>
      </c>
      <c r="D26" s="10" t="s">
        <v>34</v>
      </c>
      <c r="E26" s="10" t="s">
        <v>35</v>
      </c>
      <c r="F26" s="10" t="s">
        <v>36</v>
      </c>
      <c r="G26" s="10"/>
    </row>
    <row r="27" customFormat="false" ht="21.75" hidden="false" customHeight="true" outlineLevel="0" collapsed="false">
      <c r="B27" s="11" t="n">
        <v>2</v>
      </c>
      <c r="C27" s="10" t="s">
        <v>37</v>
      </c>
      <c r="D27" s="10" t="s">
        <v>38</v>
      </c>
      <c r="E27" s="10" t="s">
        <v>39</v>
      </c>
      <c r="F27" s="10" t="s">
        <v>40</v>
      </c>
      <c r="G27" s="10"/>
    </row>
    <row r="28" customFormat="false" ht="21.75" hidden="false" customHeight="true" outlineLevel="0" collapsed="false">
      <c r="B28" s="11" t="n">
        <v>3</v>
      </c>
      <c r="C28" s="10" t="s">
        <v>41</v>
      </c>
      <c r="D28" s="10" t="s">
        <v>42</v>
      </c>
      <c r="E28" s="10" t="s">
        <v>43</v>
      </c>
      <c r="F28" s="10" t="s">
        <v>44</v>
      </c>
      <c r="G28" s="10"/>
    </row>
    <row r="29" customFormat="false" ht="21.75" hidden="false" customHeight="true" outlineLevel="0" collapsed="false">
      <c r="B29" s="11" t="n">
        <v>4</v>
      </c>
      <c r="C29" s="10" t="s">
        <v>45</v>
      </c>
      <c r="D29" s="10" t="s">
        <v>46</v>
      </c>
      <c r="E29" s="10" t="s">
        <v>47</v>
      </c>
      <c r="F29" s="10" t="s">
        <v>48</v>
      </c>
      <c r="G29" s="10"/>
    </row>
    <row r="30" customFormat="false" ht="21.75" hidden="false" customHeight="true" outlineLevel="0" collapsed="false">
      <c r="B30" s="11" t="n">
        <v>5</v>
      </c>
      <c r="C30" s="10" t="s">
        <v>49</v>
      </c>
      <c r="D30" s="10" t="s">
        <v>50</v>
      </c>
      <c r="E30" s="10" t="s">
        <v>51</v>
      </c>
      <c r="F30" s="10" t="s">
        <v>52</v>
      </c>
      <c r="G30" s="10"/>
    </row>
    <row r="32" customFormat="false" ht="19.5" hidden="false" customHeight="true" outlineLevel="0" collapsed="false">
      <c r="B32" s="7" t="s">
        <v>53</v>
      </c>
      <c r="C32" s="8"/>
      <c r="D32" s="8"/>
      <c r="E32" s="8"/>
      <c r="F32" s="8"/>
      <c r="G32" s="8"/>
    </row>
    <row r="33" customFormat="false" ht="15" hidden="false" customHeight="true" outlineLevel="0" collapsed="false">
      <c r="B33" s="9" t="s">
        <v>54</v>
      </c>
      <c r="C33" s="9" t="s">
        <v>55</v>
      </c>
      <c r="D33" s="9"/>
      <c r="E33" s="9"/>
      <c r="F33" s="9"/>
      <c r="G33" s="9"/>
    </row>
    <row r="34" customFormat="false" ht="18" hidden="false" customHeight="true" outlineLevel="0" collapsed="false">
      <c r="B34" s="10" t="s">
        <v>56</v>
      </c>
      <c r="C34" s="10" t="s">
        <v>57</v>
      </c>
      <c r="D34" s="10"/>
      <c r="E34" s="10"/>
      <c r="F34" s="10"/>
      <c r="G34" s="10"/>
    </row>
    <row r="35" customFormat="false" ht="18" hidden="false" customHeight="true" outlineLevel="0" collapsed="false">
      <c r="B35" s="10" t="s">
        <v>58</v>
      </c>
      <c r="C35" s="10" t="s">
        <v>59</v>
      </c>
      <c r="D35" s="10"/>
      <c r="E35" s="10"/>
      <c r="F35" s="10"/>
      <c r="G35" s="10"/>
    </row>
    <row r="36" customFormat="false" ht="18" hidden="false" customHeight="true" outlineLevel="0" collapsed="false">
      <c r="B36" s="10" t="s">
        <v>60</v>
      </c>
      <c r="C36" s="10" t="s">
        <v>61</v>
      </c>
      <c r="D36" s="10"/>
      <c r="E36" s="10"/>
      <c r="F36" s="10"/>
      <c r="G36" s="10"/>
    </row>
    <row r="37" customFormat="false" ht="18" hidden="false" customHeight="true" outlineLevel="0" collapsed="false">
      <c r="B37" s="10" t="s">
        <v>62</v>
      </c>
      <c r="C37" s="10" t="s">
        <v>63</v>
      </c>
      <c r="D37" s="10"/>
      <c r="E37" s="10"/>
      <c r="F37" s="10"/>
      <c r="G37" s="10"/>
    </row>
    <row r="39" customFormat="false" ht="19.5" hidden="false" customHeight="true" outlineLevel="0" collapsed="false">
      <c r="B39" s="7" t="s">
        <v>64</v>
      </c>
      <c r="C39" s="8"/>
      <c r="D39" s="8"/>
      <c r="E39" s="8"/>
      <c r="F39" s="8"/>
      <c r="G39" s="8"/>
    </row>
    <row r="40" customFormat="false" ht="18" hidden="false" customHeight="true" outlineLevel="0" collapsed="false">
      <c r="B40" s="4" t="s">
        <v>65</v>
      </c>
      <c r="C40" s="4"/>
      <c r="D40" s="4"/>
      <c r="E40" s="4"/>
      <c r="F40" s="4"/>
      <c r="G40" s="4"/>
    </row>
    <row r="41" customFormat="false" ht="18" hidden="false" customHeight="true" outlineLevel="0" collapsed="false">
      <c r="B41" s="4" t="s">
        <v>66</v>
      </c>
      <c r="C41" s="4"/>
      <c r="D41" s="4"/>
      <c r="E41" s="4"/>
      <c r="F41" s="4"/>
      <c r="G41" s="4"/>
    </row>
    <row r="42" customFormat="false" ht="18" hidden="false" customHeight="true" outlineLevel="0" collapsed="false">
      <c r="B42" s="4" t="s">
        <v>67</v>
      </c>
      <c r="C42" s="4"/>
      <c r="D42" s="4"/>
      <c r="E42" s="4"/>
      <c r="F42" s="4"/>
      <c r="G42" s="4"/>
    </row>
    <row r="43" customFormat="false" ht="18" hidden="false" customHeight="true" outlineLevel="0" collapsed="false">
      <c r="B43" s="4" t="s">
        <v>68</v>
      </c>
      <c r="C43" s="4"/>
      <c r="D43" s="4"/>
      <c r="E43" s="4"/>
      <c r="F43" s="4"/>
      <c r="G43" s="4"/>
    </row>
    <row r="44" customFormat="false" ht="18" hidden="false" customHeight="true" outlineLevel="0" collapsed="false">
      <c r="B44" s="4" t="s">
        <v>69</v>
      </c>
      <c r="C44" s="4"/>
      <c r="D44" s="4"/>
      <c r="E44" s="4"/>
      <c r="F44" s="4"/>
      <c r="G44" s="4"/>
    </row>
    <row r="46" customFormat="false" ht="19.5" hidden="false" customHeight="true" outlineLevel="0" collapsed="false">
      <c r="B46" s="7" t="s">
        <v>70</v>
      </c>
      <c r="C46" s="8"/>
      <c r="D46" s="8"/>
      <c r="E46" s="8"/>
      <c r="F46" s="8"/>
      <c r="G46" s="8"/>
    </row>
    <row r="47" customFormat="false" ht="15" hidden="false" customHeight="true" outlineLevel="0" collapsed="false">
      <c r="B47" s="9" t="s">
        <v>4</v>
      </c>
      <c r="C47" s="9" t="s">
        <v>71</v>
      </c>
      <c r="D47" s="9" t="s">
        <v>72</v>
      </c>
      <c r="E47" s="9" t="s">
        <v>73</v>
      </c>
      <c r="F47" s="9"/>
      <c r="G47" s="9"/>
    </row>
    <row r="48" customFormat="false" ht="31.5" hidden="false" customHeight="true" outlineLevel="0" collapsed="false">
      <c r="B48" s="10" t="s">
        <v>5</v>
      </c>
      <c r="C48" s="10" t="s">
        <v>74</v>
      </c>
      <c r="D48" s="10" t="s">
        <v>75</v>
      </c>
      <c r="E48" s="10" t="s">
        <v>76</v>
      </c>
      <c r="F48" s="10"/>
      <c r="G48" s="10"/>
    </row>
  </sheetData>
  <mergeCells count="33">
    <mergeCell ref="C5:G5"/>
    <mergeCell ref="C6:G6"/>
    <mergeCell ref="C7:G7"/>
    <mergeCell ref="C8:G8"/>
    <mergeCell ref="C9:G9"/>
    <mergeCell ref="C10:G10"/>
    <mergeCell ref="C11:G11"/>
    <mergeCell ref="B14:G14"/>
    <mergeCell ref="C17:G17"/>
    <mergeCell ref="C18:G18"/>
    <mergeCell ref="C19:G19"/>
    <mergeCell ref="C20:G20"/>
    <mergeCell ref="C21:G21"/>
    <mergeCell ref="B24:G24"/>
    <mergeCell ref="C25:D25"/>
    <mergeCell ref="E25:G25"/>
    <mergeCell ref="F26:G26"/>
    <mergeCell ref="F27:G27"/>
    <mergeCell ref="F28:G28"/>
    <mergeCell ref="F29:G29"/>
    <mergeCell ref="F30:G30"/>
    <mergeCell ref="C33:G33"/>
    <mergeCell ref="C34:G34"/>
    <mergeCell ref="C35:G35"/>
    <mergeCell ref="C36:G36"/>
    <mergeCell ref="C37:G37"/>
    <mergeCell ref="B40:G40"/>
    <mergeCell ref="B41:G41"/>
    <mergeCell ref="B42:G42"/>
    <mergeCell ref="B43:G43"/>
    <mergeCell ref="B44:G44"/>
    <mergeCell ref="E47:G47"/>
    <mergeCell ref="E48:G4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4"/>
    <col collapsed="false" customWidth="true" hidden="false" outlineLevel="0" max="3" min="3" style="0" width="32"/>
    <col collapsed="false" customWidth="true" hidden="false" outlineLevel="0" max="5" min="4" style="0" width="11"/>
    <col collapsed="false" customWidth="true" hidden="false" outlineLevel="0" max="6" min="6" style="0" width="18"/>
    <col collapsed="false" customWidth="true" hidden="false" outlineLevel="0" max="7" min="7" style="0" width="14"/>
    <col collapsed="false" customWidth="true" hidden="false" outlineLevel="0" max="8" min="8" style="0" width="13"/>
    <col collapsed="false" customWidth="true" hidden="false" outlineLevel="0" max="9" min="9" style="0" width="14"/>
    <col collapsed="false" customWidth="true" hidden="false" outlineLevel="0" max="10" min="10" style="0" width="12"/>
  </cols>
  <sheetData>
    <row r="1" customFormat="false" ht="22.05" hidden="false" customHeight="false" outlineLevel="0" collapsed="false">
      <c r="B1" s="12" t="s">
        <v>77</v>
      </c>
    </row>
    <row r="2" customFormat="false" ht="15" hidden="false" customHeight="false" outlineLevel="0" collapsed="false">
      <c r="B2" s="13" t="s">
        <v>78</v>
      </c>
    </row>
    <row r="3" customFormat="false" ht="15" hidden="false" customHeight="false" outlineLevel="0" collapsed="false">
      <c r="B3" s="14" t="s">
        <v>79</v>
      </c>
      <c r="C3" s="15" t="n">
        <f aca="false">Cover!C7</f>
        <v>46275</v>
      </c>
    </row>
    <row r="5" customFormat="false" ht="19.5" hidden="false" customHeight="true" outlineLevel="0" collapsed="false">
      <c r="B5" s="7" t="s">
        <v>80</v>
      </c>
      <c r="C5" s="8"/>
      <c r="D5" s="8"/>
      <c r="E5" s="8"/>
      <c r="F5" s="8"/>
      <c r="G5" s="8"/>
      <c r="H5" s="8"/>
      <c r="I5" s="8"/>
      <c r="J5" s="8"/>
    </row>
    <row r="6" customFormat="false" ht="15" hidden="false" customHeight="true" outlineLevel="0" collapsed="false">
      <c r="B6" s="9" t="s">
        <v>81</v>
      </c>
      <c r="C6" s="9" t="s">
        <v>82</v>
      </c>
      <c r="D6" s="9" t="s">
        <v>83</v>
      </c>
      <c r="E6" s="9" t="s">
        <v>84</v>
      </c>
      <c r="F6" s="9"/>
      <c r="G6" s="9" t="s">
        <v>85</v>
      </c>
      <c r="H6" s="9"/>
      <c r="I6" s="9"/>
      <c r="J6" s="9"/>
    </row>
    <row r="7" customFormat="false" ht="19.5" hidden="false" customHeight="true" outlineLevel="0" collapsed="false">
      <c r="B7" s="16" t="s">
        <v>56</v>
      </c>
      <c r="C7" s="11" t="n">
        <f aca="false">COUNTA(Risks!$A$5:$A$54)</f>
        <v>10</v>
      </c>
      <c r="D7" s="11" t="n">
        <f aca="false">COUNTIFS(Risks!$Q$5:$Q$54,"Open")+COUNTIFS(Risks!$Q$5:$Q$54,"Monitoring")</f>
        <v>10</v>
      </c>
      <c r="E7" s="17" t="n">
        <f aca="false">COUNTIFS(Risks!$K$5:$K$54,"High",Risks!$Q$5:$Q$54,"Open")+COUNTIFS(Risks!$K$5:$K$54,"High",Risks!$Q$5:$Q$54,"Monitoring")</f>
        <v>3</v>
      </c>
      <c r="F7" s="17"/>
      <c r="G7" s="10" t="s">
        <v>86</v>
      </c>
      <c r="H7" s="10"/>
      <c r="I7" s="10"/>
      <c r="J7" s="10"/>
    </row>
    <row r="8" customFormat="false" ht="19.5" hidden="false" customHeight="true" outlineLevel="0" collapsed="false">
      <c r="B8" s="16" t="s">
        <v>58</v>
      </c>
      <c r="C8" s="11" t="n">
        <f aca="false">COUNTA(Assumptions!$A$5:$A$54)</f>
        <v>7</v>
      </c>
      <c r="D8" s="11" t="n">
        <f aca="false">COUNTIFS(Assumptions!$K$5:$K$54,"Unvalidated")+COUNTIFS(Assumptions!$K$5:$K$54,"Validating")</f>
        <v>6</v>
      </c>
      <c r="E8" s="17" t="n">
        <f aca="false">COUNTIFS(Assumptions!$L$5:$L$54,"Overdue")+COUNTIFS(Assumptions!$K$5:$K$54,"Invalid - raised as Risk/Issue")</f>
        <v>0</v>
      </c>
      <c r="F8" s="17"/>
      <c r="G8" s="10" t="s">
        <v>87</v>
      </c>
      <c r="H8" s="10"/>
      <c r="I8" s="10"/>
      <c r="J8" s="10"/>
    </row>
    <row r="9" customFormat="false" ht="19.5" hidden="false" customHeight="true" outlineLevel="0" collapsed="false">
      <c r="B9" s="16" t="s">
        <v>60</v>
      </c>
      <c r="C9" s="11" t="n">
        <f aca="false">COUNTA(Issues!$A$5:$A$54)</f>
        <v>7</v>
      </c>
      <c r="D9" s="11" t="n">
        <f aca="false">COUNTIFS(Issues!$L$5:$L$54,"Open")+COUNTIFS(Issues!$L$5:$L$54,"In Progress")+COUNTIFS(Issues!$L$5:$L$54,"Escalated")</f>
        <v>6</v>
      </c>
      <c r="E9" s="17" t="n">
        <f aca="false">COUNTIFS(Issues!$L$5:$L$54,"Escalated")+COUNTIFS(Issues!$I$5:$I$54,"Critical",Issues!$L$5:$L$54,"&lt;&gt;Closed",Issues!$L$5:$L$54,"&lt;&gt;Resolved")</f>
        <v>2</v>
      </c>
      <c r="F9" s="17"/>
      <c r="G9" s="10" t="s">
        <v>88</v>
      </c>
      <c r="H9" s="10"/>
      <c r="I9" s="10"/>
      <c r="J9" s="10"/>
    </row>
    <row r="10" customFormat="false" ht="19.5" hidden="false" customHeight="true" outlineLevel="0" collapsed="false">
      <c r="B10" s="16" t="s">
        <v>62</v>
      </c>
      <c r="C10" s="11" t="n">
        <f aca="false">COUNTA(Dependencies!$A$5:$A$54)</f>
        <v>7</v>
      </c>
      <c r="D10" s="11" t="n">
        <f aca="false">COUNTA(Dependencies!$A$5:$A$54)-COUNTIFS(Dependencies!$M$5:$M$54,"Delivered")</f>
        <v>7</v>
      </c>
      <c r="E10" s="17" t="n">
        <f aca="false">COUNTIFS(Dependencies!$M$5:$M$54,"At Risk")+COUNTIFS(Dependencies!$M$5:$M$54,"Late")</f>
        <v>3</v>
      </c>
      <c r="F10" s="17"/>
      <c r="G10" s="10" t="s">
        <v>89</v>
      </c>
      <c r="H10" s="10"/>
      <c r="I10" s="10"/>
      <c r="J10" s="10"/>
    </row>
    <row r="12" customFormat="false" ht="19.5" hidden="false" customHeight="true" outlineLevel="0" collapsed="false">
      <c r="B12" s="7" t="s">
        <v>90</v>
      </c>
      <c r="C12" s="8"/>
      <c r="D12" s="8"/>
      <c r="E12" s="8"/>
      <c r="F12" s="8"/>
      <c r="G12" s="8"/>
      <c r="H12" s="8"/>
      <c r="I12" s="8"/>
      <c r="J12" s="8"/>
    </row>
    <row r="13" customFormat="false" ht="15" hidden="false" customHeight="false" outlineLevel="0" collapsed="false">
      <c r="B13" s="9" t="s">
        <v>91</v>
      </c>
      <c r="C13" s="9" t="s">
        <v>20</v>
      </c>
      <c r="D13" s="9" t="s">
        <v>30</v>
      </c>
      <c r="E13" s="9" t="s">
        <v>92</v>
      </c>
      <c r="F13" s="9" t="s">
        <v>93</v>
      </c>
      <c r="G13" s="9" t="s">
        <v>94</v>
      </c>
      <c r="H13" s="9" t="s">
        <v>95</v>
      </c>
      <c r="I13" s="9" t="s">
        <v>96</v>
      </c>
    </row>
    <row r="14" customFormat="false" ht="33.75" hidden="false" customHeight="true" outlineLevel="0" collapsed="false">
      <c r="B14" s="11" t="str">
        <f aca="false">IF(LARGE(Risks!$T$5:$T$54,1)=0,"",INDEX(Risks!$A$5:$A$54,MATCH(LARGE(Risks!$T$5:$T$54,1),Risks!$T$5:$T$54,0)))</f>
        <v>R-04</v>
      </c>
      <c r="C14" s="10" t="str">
        <f aca="false">IF(LARGE(Risks!$T$5:$T$54,1)=0,"",INDEX(Risks!$C$5:$C$54,MATCH(LARGE(Risks!$T$5:$T$54,1),Risks!$T$5:$T$54,0)))</f>
        <v>Low merchant adoption of self-service portal</v>
      </c>
      <c r="D14" s="11" t="n">
        <f aca="false">IF(LARGE(Risks!$T$5:$T$54,1)=0,"",INDEX(Risks!$J$5:$J$54,MATCH(LARGE(Risks!$T$5:$T$54,1),Risks!$T$5:$T$54,0)))</f>
        <v>16</v>
      </c>
      <c r="E14" s="11" t="str">
        <f aca="false">IF(LARGE(Risks!$T$5:$T$54,1)=0,"",INDEX(Risks!$K$5:$K$54,MATCH(LARGE(Risks!$T$5:$T$54,1),Risks!$T$5:$T$54,0)))</f>
        <v>High</v>
      </c>
      <c r="F14" s="11" t="str">
        <f aca="false">IF(LARGE(Risks!$T$5:$T$54,1)=0,"",INDEX(Risks!$G$5:$G$54,MATCH(LARGE(Risks!$T$5:$T$54,1),Risks!$T$5:$T$54,0)))</f>
        <v>Product Owner</v>
      </c>
      <c r="G14" s="18" t="n">
        <f aca="false">IF(LARGE(Risks!$T$5:$T$54,1)=0,"",INDEX(Risks!$P$5:$P$54,MATCH(LARGE(Risks!$T$5:$T$54,1),Risks!$T$5:$T$54,0)))</f>
        <v>46346</v>
      </c>
      <c r="H14" s="11" t="str">
        <f aca="false">IF(LARGE(Risks!$T$5:$T$54,1)=0,"",INDEX(Risks!$Q$5:$Q$54,MATCH(LARGE(Risks!$T$5:$T$54,1),Risks!$T$5:$T$54,0)))</f>
        <v>Open</v>
      </c>
      <c r="I14" s="11" t="str">
        <f aca="false">IF(LARGE(Risks!$T$5:$T$54,1)=0,"",INDEX(Risks!$R$5:$R$54,MATCH(LARGE(Risks!$T$5:$T$54,1),Risks!$T$5:$T$54,0)))</f>
        <v>A-01, I-06</v>
      </c>
    </row>
    <row r="15" customFormat="false" ht="33.75" hidden="false" customHeight="true" outlineLevel="0" collapsed="false">
      <c r="B15" s="11" t="str">
        <f aca="false">IF(LARGE(Risks!$T$5:$T$54,2)=0,"",INDEX(Risks!$A$5:$A$54,MATCH(LARGE(Risks!$T$5:$T$54,2),Risks!$T$5:$T$54,0)))</f>
        <v>R-02</v>
      </c>
      <c r="C15" s="10" t="str">
        <f aca="false">IF(LARGE(Risks!$T$5:$T$54,2)=0,"",INDEX(Risks!$C$5:$C$54,MATCH(LARGE(Risks!$T$5:$T$54,2),Risks!$T$5:$T$54,0)))</f>
        <v>Cardholder data in merchant evidence uploads</v>
      </c>
      <c r="D15" s="11" t="n">
        <f aca="false">IF(LARGE(Risks!$T$5:$T$54,2)=0,"",INDEX(Risks!$J$5:$J$54,MATCH(LARGE(Risks!$T$5:$T$54,2),Risks!$T$5:$T$54,0)))</f>
        <v>15</v>
      </c>
      <c r="E15" s="11" t="str">
        <f aca="false">IF(LARGE(Risks!$T$5:$T$54,2)=0,"",INDEX(Risks!$K$5:$K$54,MATCH(LARGE(Risks!$T$5:$T$54,2),Risks!$T$5:$T$54,0)))</f>
        <v>High</v>
      </c>
      <c r="F15" s="11" t="str">
        <f aca="false">IF(LARGE(Risks!$T$5:$T$54,2)=0,"",INDEX(Risks!$G$5:$G$54,MATCH(LARGE(Risks!$T$5:$T$54,2),Risks!$T$5:$T$54,0)))</f>
        <v>Tech Lead</v>
      </c>
      <c r="G15" s="18" t="n">
        <f aca="false">IF(LARGE(Risks!$T$5:$T$54,2)=0,"",INDEX(Risks!$P$5:$P$54,MATCH(LARGE(Risks!$T$5:$T$54,2),Risks!$T$5:$T$54,0)))</f>
        <v>46310</v>
      </c>
      <c r="H15" s="11" t="str">
        <f aca="false">IF(LARGE(Risks!$T$5:$T$54,2)=0,"",INDEX(Risks!$Q$5:$Q$54,MATCH(LARGE(Risks!$T$5:$T$54,2),Risks!$T$5:$T$54,0)))</f>
        <v>Open</v>
      </c>
      <c r="I15" s="11" t="str">
        <f aca="false">IF(LARGE(Risks!$T$5:$T$54,2)=0,"",INDEX(Risks!$R$5:$R$54,MATCH(LARGE(Risks!$T$5:$T$54,2),Risks!$T$5:$T$54,0)))</f>
        <v>D-03</v>
      </c>
    </row>
    <row r="16" customFormat="false" ht="33.75" hidden="false" customHeight="true" outlineLevel="0" collapsed="false">
      <c r="B16" s="11" t="str">
        <f aca="false">IF(LARGE(Risks!$T$5:$T$54,3)=0,"",INDEX(Risks!$A$5:$A$54,MATCH(LARGE(Risks!$T$5:$T$54,3),Risks!$T$5:$T$54,0)))</f>
        <v>R-03</v>
      </c>
      <c r="C16" s="10" t="str">
        <f aca="false">IF(LARGE(Risks!$T$5:$T$54,3)=0,"",INDEX(Risks!$C$5:$C$54,MATCH(LARGE(Risks!$T$5:$T$54,3),Risks!$T$5:$T$54,0)))</f>
        <v>Missed dispute response deadlines due to status sync lag</v>
      </c>
      <c r="D16" s="11" t="n">
        <f aca="false">IF(LARGE(Risks!$T$5:$T$54,3)=0,"",INDEX(Risks!$J$5:$J$54,MATCH(LARGE(Risks!$T$5:$T$54,3),Risks!$T$5:$T$54,0)))</f>
        <v>15</v>
      </c>
      <c r="E16" s="11" t="str">
        <f aca="false">IF(LARGE(Risks!$T$5:$T$54,3)=0,"",INDEX(Risks!$K$5:$K$54,MATCH(LARGE(Risks!$T$5:$T$54,3),Risks!$T$5:$T$54,0)))</f>
        <v>High</v>
      </c>
      <c r="F16" s="11" t="str">
        <f aca="false">IF(LARGE(Risks!$T$5:$T$54,3)=0,"",INDEX(Risks!$G$5:$G$54,MATCH(LARGE(Risks!$T$5:$T$54,3),Risks!$T$5:$T$54,0)))</f>
        <v>Tech Lead</v>
      </c>
      <c r="G16" s="18" t="n">
        <f aca="false">IF(LARGE(Risks!$T$5:$T$54,3)=0,"",INDEX(Risks!$P$5:$P$54,MATCH(LARGE(Risks!$T$5:$T$54,3),Risks!$T$5:$T$54,0)))</f>
        <v>46332</v>
      </c>
      <c r="H16" s="11" t="str">
        <f aca="false">IF(LARGE(Risks!$T$5:$T$54,3)=0,"",INDEX(Risks!$Q$5:$Q$54,MATCH(LARGE(Risks!$T$5:$T$54,3),Risks!$T$5:$T$54,0)))</f>
        <v>Open</v>
      </c>
      <c r="I16" s="11" t="str">
        <f aca="false">IF(LARGE(Risks!$T$5:$T$54,3)=0,"",INDEX(Risks!$R$5:$R$54,MATCH(LARGE(Risks!$T$5:$T$54,3),Risks!$T$5:$T$54,0)))</f>
        <v>A-02, D-01</v>
      </c>
    </row>
    <row r="17" customFormat="false" ht="33.75" hidden="false" customHeight="true" outlineLevel="0" collapsed="false">
      <c r="B17" s="11" t="str">
        <f aca="false">IF(LARGE(Risks!$T$5:$T$54,4)=0,"",INDEX(Risks!$A$5:$A$54,MATCH(LARGE(Risks!$T$5:$T$54,4),Risks!$T$5:$T$54,0)))</f>
        <v>R-01</v>
      </c>
      <c r="C17" s="10" t="str">
        <f aca="false">IF(LARGE(Risks!$T$5:$T$54,4)=0,"",INDEX(Risks!$C$5:$C$54,MATCH(LARGE(Risks!$T$5:$T$54,4),Risks!$T$5:$T$54,0)))</f>
        <v>Card network dispute rule changes before go-live</v>
      </c>
      <c r="D17" s="11" t="n">
        <f aca="false">IF(LARGE(Risks!$T$5:$T$54,4)=0,"",INDEX(Risks!$J$5:$J$54,MATCH(LARGE(Risks!$T$5:$T$54,4),Risks!$T$5:$T$54,0)))</f>
        <v>12</v>
      </c>
      <c r="E17" s="11" t="str">
        <f aca="false">IF(LARGE(Risks!$T$5:$T$54,4)=0,"",INDEX(Risks!$K$5:$K$54,MATCH(LARGE(Risks!$T$5:$T$54,4),Risks!$T$5:$T$54,0)))</f>
        <v>Medium</v>
      </c>
      <c r="F17" s="11" t="str">
        <f aca="false">IF(LARGE(Risks!$T$5:$T$54,4)=0,"",INDEX(Risks!$G$5:$G$54,MATCH(LARGE(Risks!$T$5:$T$54,4),Risks!$T$5:$T$54,0)))</f>
        <v>Product Owner</v>
      </c>
      <c r="G17" s="18" t="n">
        <f aca="false">IF(LARGE(Risks!$T$5:$T$54,4)=0,"",INDEX(Risks!$P$5:$P$54,MATCH(LARGE(Risks!$T$5:$T$54,4),Risks!$T$5:$T$54,0)))</f>
        <v>46325</v>
      </c>
      <c r="H17" s="11" t="str">
        <f aca="false">IF(LARGE(Risks!$T$5:$T$54,4)=0,"",INDEX(Risks!$Q$5:$Q$54,MATCH(LARGE(Risks!$T$5:$T$54,4),Risks!$T$5:$T$54,0)))</f>
        <v>Open</v>
      </c>
      <c r="I17" s="11" t="str">
        <f aca="false">IF(LARGE(Risks!$T$5:$T$54,4)=0,"",INDEX(Risks!$R$5:$R$54,MATCH(LARGE(Risks!$T$5:$T$54,4),Risks!$T$5:$T$54,0)))</f>
        <v>I-02</v>
      </c>
    </row>
    <row r="18" customFormat="false" ht="33.75" hidden="false" customHeight="true" outlineLevel="0" collapsed="false">
      <c r="B18" s="11" t="str">
        <f aca="false">IF(LARGE(Risks!$T$5:$T$54,5)=0,"",INDEX(Risks!$A$5:$A$54,MATCH(LARGE(Risks!$T$5:$T$54,5),Risks!$T$5:$T$54,0)))</f>
        <v>R-05</v>
      </c>
      <c r="C18" s="10" t="str">
        <f aca="false">IF(LARGE(Risks!$T$5:$T$54,5)=0,"",INDEX(Risks!$C$5:$C$54,MATCH(LARGE(Risks!$T$5:$T$54,5),Risks!$T$5:$T$54,0)))</f>
        <v>Legacy settlement data quality affects reports</v>
      </c>
      <c r="D18" s="11" t="n">
        <f aca="false">IF(LARGE(Risks!$T$5:$T$54,5)=0,"",INDEX(Risks!$J$5:$J$54,MATCH(LARGE(Risks!$T$5:$T$54,5),Risks!$T$5:$T$54,0)))</f>
        <v>12</v>
      </c>
      <c r="E18" s="11" t="str">
        <f aca="false">IF(LARGE(Risks!$T$5:$T$54,5)=0,"",INDEX(Risks!$K$5:$K$54,MATCH(LARGE(Risks!$T$5:$T$54,5),Risks!$T$5:$T$54,0)))</f>
        <v>Medium</v>
      </c>
      <c r="F18" s="11" t="str">
        <f aca="false">IF(LARGE(Risks!$T$5:$T$54,5)=0,"",INDEX(Risks!$G$5:$G$54,MATCH(LARGE(Risks!$T$5:$T$54,5),Risks!$T$5:$T$54,0)))</f>
        <v>Data Engineering Lead</v>
      </c>
      <c r="G18" s="18" t="n">
        <f aca="false">IF(LARGE(Risks!$T$5:$T$54,5)=0,"",INDEX(Risks!$P$5:$P$54,MATCH(LARGE(Risks!$T$5:$T$54,5),Risks!$T$5:$T$54,0)))</f>
        <v>46318</v>
      </c>
      <c r="H18" s="11" t="str">
        <f aca="false">IF(LARGE(Risks!$T$5:$T$54,5)=0,"",INDEX(Risks!$Q$5:$Q$54,MATCH(LARGE(Risks!$T$5:$T$54,5),Risks!$T$5:$T$54,0)))</f>
        <v>Monitoring</v>
      </c>
      <c r="I18" s="11" t="str">
        <f aca="false">IF(LARGE(Risks!$T$5:$T$54,5)=0,"",INDEX(Risks!$R$5:$R$54,MATCH(LARGE(Risks!$T$5:$T$54,5),Risks!$T$5:$T$54,0)))</f>
        <v>D-04, A-06</v>
      </c>
    </row>
    <row r="20" customFormat="false" ht="19.5" hidden="false" customHeight="true" outlineLevel="0" collapsed="false">
      <c r="B20" s="7" t="s">
        <v>97</v>
      </c>
      <c r="C20" s="8"/>
      <c r="D20" s="8"/>
      <c r="E20" s="8"/>
      <c r="F20" s="8"/>
      <c r="G20" s="8"/>
      <c r="H20" s="8"/>
      <c r="I20" s="8"/>
      <c r="J20" s="8"/>
    </row>
    <row r="21" customFormat="false" ht="27.75" hidden="false" customHeight="true" outlineLevel="0" collapsed="false">
      <c r="C21" s="19" t="s">
        <v>98</v>
      </c>
      <c r="D21" s="19" t="s">
        <v>99</v>
      </c>
      <c r="E21" s="19" t="s">
        <v>100</v>
      </c>
      <c r="F21" s="19" t="s">
        <v>101</v>
      </c>
      <c r="G21" s="19" t="s">
        <v>102</v>
      </c>
      <c r="H21" s="19" t="s">
        <v>103</v>
      </c>
    </row>
    <row r="22" customFormat="false" ht="24" hidden="false" customHeight="true" outlineLevel="0" collapsed="false">
      <c r="C22" s="20" t="s">
        <v>104</v>
      </c>
      <c r="D22" s="21" t="n">
        <f aca="false">COUNTIFS(Risks!$H$5:$H$54,5,Risks!$I$5:$I$54,1,Risks!$Q$5:$Q$54,"Open")+COUNTIFS(Risks!$H$5:$H$54,5,Risks!$I$5:$I$54,1,Risks!$Q$5:$Q$54,"Monitoring")</f>
        <v>0</v>
      </c>
      <c r="E22" s="22" t="n">
        <f aca="false">COUNTIFS(Risks!$H$5:$H$54,5,Risks!$I$5:$I$54,2,Risks!$Q$5:$Q$54,"Open")+COUNTIFS(Risks!$H$5:$H$54,5,Risks!$I$5:$I$54,2,Risks!$Q$5:$Q$54,"Monitoring")</f>
        <v>0</v>
      </c>
      <c r="F22" s="23" t="n">
        <f aca="false">COUNTIFS(Risks!$H$5:$H$54,5,Risks!$I$5:$I$54,3,Risks!$Q$5:$Q$54,"Open")+COUNTIFS(Risks!$H$5:$H$54,5,Risks!$I$5:$I$54,3,Risks!$Q$5:$Q$54,"Monitoring")</f>
        <v>0</v>
      </c>
      <c r="G22" s="23" t="n">
        <f aca="false">COUNTIFS(Risks!$H$5:$H$54,5,Risks!$I$5:$I$54,4,Risks!$Q$5:$Q$54,"Open")+COUNTIFS(Risks!$H$5:$H$54,5,Risks!$I$5:$I$54,4,Risks!$Q$5:$Q$54,"Monitoring")</f>
        <v>0</v>
      </c>
      <c r="H22" s="23" t="n">
        <f aca="false">COUNTIFS(Risks!$H$5:$H$54,5,Risks!$I$5:$I$54,5,Risks!$Q$5:$Q$54,"Open")+COUNTIFS(Risks!$H$5:$H$54,5,Risks!$I$5:$I$54,5,Risks!$Q$5:$Q$54,"Monitoring")</f>
        <v>0</v>
      </c>
      <c r="J22" s="24" t="s">
        <v>105</v>
      </c>
    </row>
    <row r="23" customFormat="false" ht="24" hidden="false" customHeight="true" outlineLevel="0" collapsed="false">
      <c r="C23" s="20" t="s">
        <v>106</v>
      </c>
      <c r="D23" s="21" t="n">
        <f aca="false">COUNTIFS(Risks!$H$5:$H$54,4,Risks!$I$5:$I$54,1,Risks!$Q$5:$Q$54,"Open")+COUNTIFS(Risks!$H$5:$H$54,4,Risks!$I$5:$I$54,1,Risks!$Q$5:$Q$54,"Monitoring")</f>
        <v>0</v>
      </c>
      <c r="E23" s="22" t="n">
        <f aca="false">COUNTIFS(Risks!$H$5:$H$54,4,Risks!$I$5:$I$54,2,Risks!$Q$5:$Q$54,"Open")+COUNTIFS(Risks!$H$5:$H$54,4,Risks!$I$5:$I$54,2,Risks!$Q$5:$Q$54,"Monitoring")</f>
        <v>0</v>
      </c>
      <c r="F23" s="22" t="n">
        <f aca="false">COUNTIFS(Risks!$H$5:$H$54,4,Risks!$I$5:$I$54,3,Risks!$Q$5:$Q$54,"Open")+COUNTIFS(Risks!$H$5:$H$54,4,Risks!$I$5:$I$54,3,Risks!$Q$5:$Q$54,"Monitoring")</f>
        <v>2</v>
      </c>
      <c r="G23" s="23" t="n">
        <f aca="false">COUNTIFS(Risks!$H$5:$H$54,4,Risks!$I$5:$I$54,4,Risks!$Q$5:$Q$54,"Open")+COUNTIFS(Risks!$H$5:$H$54,4,Risks!$I$5:$I$54,4,Risks!$Q$5:$Q$54,"Monitoring")</f>
        <v>1</v>
      </c>
      <c r="H23" s="23" t="n">
        <f aca="false">COUNTIFS(Risks!$H$5:$H$54,4,Risks!$I$5:$I$54,5,Risks!$Q$5:$Q$54,"Open")+COUNTIFS(Risks!$H$5:$H$54,4,Risks!$I$5:$I$54,5,Risks!$Q$5:$Q$54,"Monitoring")</f>
        <v>0</v>
      </c>
      <c r="J23" s="25" t="s">
        <v>107</v>
      </c>
    </row>
    <row r="24" customFormat="false" ht="24" hidden="false" customHeight="true" outlineLevel="0" collapsed="false">
      <c r="C24" s="20" t="s">
        <v>108</v>
      </c>
      <c r="D24" s="21" t="n">
        <f aca="false">COUNTIFS(Risks!$H$5:$H$54,3,Risks!$I$5:$I$54,1,Risks!$Q$5:$Q$54,"Open")+COUNTIFS(Risks!$H$5:$H$54,3,Risks!$I$5:$I$54,1,Risks!$Q$5:$Q$54,"Monitoring")</f>
        <v>0</v>
      </c>
      <c r="E24" s="21" t="n">
        <f aca="false">COUNTIFS(Risks!$H$5:$H$54,3,Risks!$I$5:$I$54,2,Risks!$Q$5:$Q$54,"Open")+COUNTIFS(Risks!$H$5:$H$54,3,Risks!$I$5:$I$54,2,Risks!$Q$5:$Q$54,"Monitoring")</f>
        <v>0</v>
      </c>
      <c r="F24" s="22" t="n">
        <f aca="false">COUNTIFS(Risks!$H$5:$H$54,3,Risks!$I$5:$I$54,3,Risks!$Q$5:$Q$54,"Open")+COUNTIFS(Risks!$H$5:$H$54,3,Risks!$I$5:$I$54,3,Risks!$Q$5:$Q$54,"Monitoring")</f>
        <v>1</v>
      </c>
      <c r="G24" s="22" t="n">
        <f aca="false">COUNTIFS(Risks!$H$5:$H$54,3,Risks!$I$5:$I$54,4,Risks!$Q$5:$Q$54,"Open")+COUNTIFS(Risks!$H$5:$H$54,3,Risks!$I$5:$I$54,4,Risks!$Q$5:$Q$54,"Monitoring")</f>
        <v>1</v>
      </c>
      <c r="H24" s="23" t="n">
        <f aca="false">COUNTIFS(Risks!$H$5:$H$54,3,Risks!$I$5:$I$54,5,Risks!$Q$5:$Q$54,"Open")+COUNTIFS(Risks!$H$5:$H$54,3,Risks!$I$5:$I$54,5,Risks!$Q$5:$Q$54,"Monitoring")</f>
        <v>2</v>
      </c>
      <c r="J24" s="26" t="s">
        <v>109</v>
      </c>
    </row>
    <row r="25" customFormat="false" ht="24" hidden="false" customHeight="true" outlineLevel="0" collapsed="false">
      <c r="C25" s="20" t="s">
        <v>110</v>
      </c>
      <c r="D25" s="21" t="n">
        <f aca="false">COUNTIFS(Risks!$H$5:$H$54,2,Risks!$I$5:$I$54,1,Risks!$Q$5:$Q$54,"Open")+COUNTIFS(Risks!$H$5:$H$54,2,Risks!$I$5:$I$54,1,Risks!$Q$5:$Q$54,"Monitoring")</f>
        <v>0</v>
      </c>
      <c r="E25" s="21" t="n">
        <f aca="false">COUNTIFS(Risks!$H$5:$H$54,2,Risks!$I$5:$I$54,2,Risks!$Q$5:$Q$54,"Open")+COUNTIFS(Risks!$H$5:$H$54,2,Risks!$I$5:$I$54,2,Risks!$Q$5:$Q$54,"Monitoring")</f>
        <v>0</v>
      </c>
      <c r="F25" s="21" t="n">
        <f aca="false">COUNTIFS(Risks!$H$5:$H$54,2,Risks!$I$5:$I$54,3,Risks!$Q$5:$Q$54,"Open")+COUNTIFS(Risks!$H$5:$H$54,2,Risks!$I$5:$I$54,3,Risks!$Q$5:$Q$54,"Monitoring")</f>
        <v>1</v>
      </c>
      <c r="G25" s="22" t="n">
        <f aca="false">COUNTIFS(Risks!$H$5:$H$54,2,Risks!$I$5:$I$54,4,Risks!$Q$5:$Q$54,"Open")+COUNTIFS(Risks!$H$5:$H$54,2,Risks!$I$5:$I$54,4,Risks!$Q$5:$Q$54,"Monitoring")</f>
        <v>2</v>
      </c>
      <c r="H25" s="22" t="n">
        <f aca="false">COUNTIFS(Risks!$H$5:$H$54,2,Risks!$I$5:$I$54,5,Risks!$Q$5:$Q$54,"Open")+COUNTIFS(Risks!$H$5:$H$54,2,Risks!$I$5:$I$54,5,Risks!$Q$5:$Q$54,"Monitoring")</f>
        <v>0</v>
      </c>
    </row>
    <row r="26" customFormat="false" ht="24" hidden="false" customHeight="true" outlineLevel="0" collapsed="false">
      <c r="C26" s="20" t="s">
        <v>111</v>
      </c>
      <c r="D26" s="21" t="n">
        <f aca="false">COUNTIFS(Risks!$H$5:$H$54,1,Risks!$I$5:$I$54,1,Risks!$Q$5:$Q$54,"Open")+COUNTIFS(Risks!$H$5:$H$54,1,Risks!$I$5:$I$54,1,Risks!$Q$5:$Q$54,"Monitoring")</f>
        <v>0</v>
      </c>
      <c r="E26" s="21" t="n">
        <f aca="false">COUNTIFS(Risks!$H$5:$H$54,1,Risks!$I$5:$I$54,2,Risks!$Q$5:$Q$54,"Open")+COUNTIFS(Risks!$H$5:$H$54,1,Risks!$I$5:$I$54,2,Risks!$Q$5:$Q$54,"Monitoring")</f>
        <v>0</v>
      </c>
      <c r="F26" s="21" t="n">
        <f aca="false">COUNTIFS(Risks!$H$5:$H$54,1,Risks!$I$5:$I$54,3,Risks!$Q$5:$Q$54,"Open")+COUNTIFS(Risks!$H$5:$H$54,1,Risks!$I$5:$I$54,3,Risks!$Q$5:$Q$54,"Monitoring")</f>
        <v>0</v>
      </c>
      <c r="G26" s="21" t="n">
        <f aca="false">COUNTIFS(Risks!$H$5:$H$54,1,Risks!$I$5:$I$54,4,Risks!$Q$5:$Q$54,"Open")+COUNTIFS(Risks!$H$5:$H$54,1,Risks!$I$5:$I$54,4,Risks!$Q$5:$Q$54,"Monitoring")</f>
        <v>0</v>
      </c>
      <c r="H26" s="21" t="n">
        <f aca="false">COUNTIFS(Risks!$H$5:$H$54,1,Risks!$I$5:$I$54,5,Risks!$Q$5:$Q$54,"Open")+COUNTIFS(Risks!$H$5:$H$54,1,Risks!$I$5:$I$54,5,Risks!$Q$5:$Q$54,"Monitoring")</f>
        <v>0</v>
      </c>
    </row>
    <row r="28" customFormat="false" ht="19.5" hidden="false" customHeight="true" outlineLevel="0" collapsed="false">
      <c r="B28" s="7" t="s">
        <v>112</v>
      </c>
      <c r="C28" s="8"/>
      <c r="D28" s="8"/>
      <c r="E28" s="8"/>
      <c r="F28" s="8"/>
      <c r="G28" s="8"/>
      <c r="H28" s="8"/>
      <c r="I28" s="8"/>
      <c r="J28" s="8"/>
    </row>
    <row r="29" customFormat="false" ht="15" hidden="false" customHeight="true" outlineLevel="0" collapsed="false">
      <c r="B29" s="9" t="s">
        <v>113</v>
      </c>
      <c r="C29" s="9" t="s">
        <v>114</v>
      </c>
      <c r="D29" s="9"/>
      <c r="E29" s="9"/>
      <c r="F29" s="9"/>
      <c r="G29" s="9"/>
      <c r="H29" s="9" t="s">
        <v>115</v>
      </c>
      <c r="I29" s="9" t="s">
        <v>116</v>
      </c>
    </row>
    <row r="30" customFormat="false" ht="31.5" hidden="false" customHeight="true" outlineLevel="0" collapsed="false">
      <c r="B30" s="11" t="s">
        <v>117</v>
      </c>
      <c r="C30" s="10" t="s">
        <v>118</v>
      </c>
      <c r="D30" s="10"/>
      <c r="E30" s="10"/>
      <c r="F30" s="10"/>
      <c r="G30" s="10"/>
      <c r="H30" s="11" t="s">
        <v>119</v>
      </c>
      <c r="I30" s="18" t="n">
        <v>46290</v>
      </c>
    </row>
    <row r="31" customFormat="false" ht="31.5" hidden="false" customHeight="true" outlineLevel="0" collapsed="false">
      <c r="B31" s="11" t="s">
        <v>120</v>
      </c>
      <c r="C31" s="10" t="s">
        <v>121</v>
      </c>
      <c r="D31" s="10"/>
      <c r="E31" s="10"/>
      <c r="F31" s="10"/>
      <c r="G31" s="10"/>
      <c r="H31" s="11" t="s">
        <v>122</v>
      </c>
      <c r="I31" s="18" t="n">
        <v>46283</v>
      </c>
    </row>
    <row r="32" customFormat="false" ht="31.5" hidden="false" customHeight="true" outlineLevel="0" collapsed="false">
      <c r="B32" s="11" t="s">
        <v>123</v>
      </c>
      <c r="C32" s="10" t="s">
        <v>124</v>
      </c>
      <c r="D32" s="10"/>
      <c r="E32" s="10"/>
      <c r="F32" s="10"/>
      <c r="G32" s="10"/>
      <c r="H32" s="11" t="s">
        <v>125</v>
      </c>
      <c r="I32" s="18" t="n">
        <v>46290</v>
      </c>
    </row>
  </sheetData>
  <mergeCells count="14">
    <mergeCell ref="E6:F6"/>
    <mergeCell ref="G6:J6"/>
    <mergeCell ref="E7:F7"/>
    <mergeCell ref="G7:J7"/>
    <mergeCell ref="E8:F8"/>
    <mergeCell ref="G8:J8"/>
    <mergeCell ref="E9:F9"/>
    <mergeCell ref="G9:J9"/>
    <mergeCell ref="E10:F10"/>
    <mergeCell ref="G10:J10"/>
    <mergeCell ref="C29:G29"/>
    <mergeCell ref="C30:G30"/>
    <mergeCell ref="C31:G31"/>
    <mergeCell ref="C32:G32"/>
  </mergeCells>
  <conditionalFormatting sqref="E14:E18">
    <cfRule type="cellIs" priority="2" operator="equal" aboveAverage="0" equalAverage="0" bottom="0" percent="0" rank="0" text="" dxfId="0">
      <formula>"High"</formula>
    </cfRule>
    <cfRule type="cellIs" priority="3" operator="equal" aboveAverage="0" equalAverage="0" bottom="0" percent="0" rank="0" text="" dxfId="1">
      <formula>"Medium"</formula>
    </cfRule>
    <cfRule type="cellIs" priority="4" operator="equal" aboveAverage="0" equalAverage="0" bottom="0" percent="0" rank="0" text="" dxfId="2">
      <formula>"Low"</formula>
    </cfRule>
  </conditionalFormatting>
  <conditionalFormatting sqref="D22:H26">
    <cfRule type="cellIs" priority="5" operator="equal" aboveAverage="0" equalAverage="0" bottom="0" percent="0" rank="0" text="" dxfId="3">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T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26"/>
    <col collapsed="false" customWidth="true" hidden="false" outlineLevel="0" max="4" min="4" style="0" width="46"/>
    <col collapsed="false" customWidth="true" hidden="false" outlineLevel="0" max="5" min="5" style="0" width="15"/>
    <col collapsed="false" customWidth="true" hidden="false" outlineLevel="0" max="6" min="6" style="0" width="13"/>
    <col collapsed="false" customWidth="true" hidden="false" outlineLevel="0" max="7" min="7" style="0" width="16"/>
    <col collapsed="false" customWidth="true" hidden="false" outlineLevel="0" max="8" min="8" style="0" width="11"/>
    <col collapsed="false" customWidth="true" hidden="false" outlineLevel="0" max="9" min="9" style="0" width="10"/>
    <col collapsed="false" customWidth="true" hidden="false" outlineLevel="0" max="10" min="10" style="0" width="8"/>
    <col collapsed="false" customWidth="true" hidden="false" outlineLevel="0" max="11" min="11" style="0" width="10"/>
    <col collapsed="false" customWidth="true" hidden="false" outlineLevel="0" max="12" min="12" style="0" width="12"/>
    <col collapsed="false" customWidth="true" hidden="false" outlineLevel="0" max="13" min="13" style="0" width="44"/>
    <col collapsed="false" customWidth="true" hidden="false" outlineLevel="0" max="14" min="14" style="0" width="34"/>
    <col collapsed="false" customWidth="true" hidden="false" outlineLevel="0" max="15" min="15" style="0" width="28"/>
    <col collapsed="false" customWidth="true" hidden="false" outlineLevel="0" max="16" min="16" style="0" width="13"/>
    <col collapsed="false" customWidth="true" hidden="false" outlineLevel="0" max="17" min="17" style="0" width="14"/>
    <col collapsed="false" customWidth="true" hidden="false" outlineLevel="0" max="18" min="18" style="0" width="12"/>
    <col collapsed="false" customWidth="true" hidden="false" outlineLevel="0" max="19" min="19" style="0" width="13"/>
    <col collapsed="false" customWidth="true" hidden="true" outlineLevel="0" max="20" min="20" style="0" width="8"/>
  </cols>
  <sheetData>
    <row r="1" customFormat="false" ht="25.5" hidden="false" customHeight="true" outlineLevel="0" collapsed="false">
      <c r="A1" s="27" t="s">
        <v>126</v>
      </c>
    </row>
    <row r="2" customFormat="false" ht="15" hidden="false" customHeight="false" outlineLevel="0" collapsed="false">
      <c r="A2" s="13" t="s">
        <v>127</v>
      </c>
    </row>
    <row r="3" customFormat="false" ht="15" hidden="false" customHeight="false" outlineLevel="0" collapsed="false">
      <c r="A3" s="28" t="s">
        <v>128</v>
      </c>
    </row>
    <row r="4" customFormat="false" ht="33.75" hidden="false" customHeight="true" outlineLevel="0" collapsed="false">
      <c r="A4" s="29" t="s">
        <v>91</v>
      </c>
      <c r="B4" s="29" t="s">
        <v>129</v>
      </c>
      <c r="C4" s="29" t="s">
        <v>130</v>
      </c>
      <c r="D4" s="29" t="s">
        <v>131</v>
      </c>
      <c r="E4" s="29" t="s">
        <v>132</v>
      </c>
      <c r="F4" s="29" t="s">
        <v>133</v>
      </c>
      <c r="G4" s="29" t="s">
        <v>93</v>
      </c>
      <c r="H4" s="29" t="s">
        <v>134</v>
      </c>
      <c r="I4" s="29" t="s">
        <v>135</v>
      </c>
      <c r="J4" s="30" t="s">
        <v>30</v>
      </c>
      <c r="K4" s="30" t="s">
        <v>92</v>
      </c>
      <c r="L4" s="29" t="s">
        <v>136</v>
      </c>
      <c r="M4" s="29" t="s">
        <v>137</v>
      </c>
      <c r="N4" s="29" t="s">
        <v>138</v>
      </c>
      <c r="O4" s="29" t="s">
        <v>139</v>
      </c>
      <c r="P4" s="29" t="s">
        <v>140</v>
      </c>
      <c r="Q4" s="29" t="s">
        <v>95</v>
      </c>
      <c r="R4" s="29" t="s">
        <v>141</v>
      </c>
      <c r="S4" s="29" t="s">
        <v>142</v>
      </c>
      <c r="T4" s="30" t="s">
        <v>143</v>
      </c>
    </row>
    <row r="5" customFormat="false" ht="75.75" hidden="false" customHeight="true" outlineLevel="0" collapsed="false">
      <c r="A5" s="11" t="s">
        <v>144</v>
      </c>
      <c r="B5" s="10" t="s">
        <v>145</v>
      </c>
      <c r="C5" s="10" t="s">
        <v>146</v>
      </c>
      <c r="D5" s="10" t="s">
        <v>147</v>
      </c>
      <c r="E5" s="10" t="s">
        <v>148</v>
      </c>
      <c r="F5" s="18" t="n">
        <v>46252</v>
      </c>
      <c r="G5" s="10" t="s">
        <v>148</v>
      </c>
      <c r="H5" s="11" t="n">
        <v>3</v>
      </c>
      <c r="I5" s="11" t="n">
        <v>4</v>
      </c>
      <c r="J5" s="31" t="n">
        <f aca="false">IF(OR(H5="",I5=""),"",H5*I5)</f>
        <v>12</v>
      </c>
      <c r="K5" s="32" t="str">
        <f aca="false">IF(J5="","",IF(J5&gt;=15,"High",IF(J5&gt;=8,"Medium","Low")))</f>
        <v>Medium</v>
      </c>
      <c r="L5" s="11" t="s">
        <v>149</v>
      </c>
      <c r="M5" s="10" t="s">
        <v>150</v>
      </c>
      <c r="N5" s="10" t="s">
        <v>151</v>
      </c>
      <c r="O5" s="10" t="s">
        <v>152</v>
      </c>
      <c r="P5" s="18" t="n">
        <v>46325</v>
      </c>
      <c r="Q5" s="11" t="s">
        <v>83</v>
      </c>
      <c r="R5" s="11" t="s">
        <v>153</v>
      </c>
      <c r="S5" s="18" t="n">
        <v>46275</v>
      </c>
      <c r="T5" s="31" t="n">
        <f aca="false">IF(OR(J5="",Q5="Closed",Q5="Occurred - moved to Issue"),0,J5+(1000-ROW())/100000)</f>
        <v>12.00995</v>
      </c>
    </row>
    <row r="6" customFormat="false" ht="75.75" hidden="false" customHeight="true" outlineLevel="0" collapsed="false">
      <c r="A6" s="11" t="s">
        <v>154</v>
      </c>
      <c r="B6" s="10" t="s">
        <v>155</v>
      </c>
      <c r="C6" s="10" t="s">
        <v>156</v>
      </c>
      <c r="D6" s="10" t="s">
        <v>157</v>
      </c>
      <c r="E6" s="10" t="s">
        <v>158</v>
      </c>
      <c r="F6" s="18" t="n">
        <v>46252</v>
      </c>
      <c r="G6" s="10" t="s">
        <v>159</v>
      </c>
      <c r="H6" s="11" t="n">
        <v>3</v>
      </c>
      <c r="I6" s="11" t="n">
        <v>5</v>
      </c>
      <c r="J6" s="31" t="n">
        <f aca="false">IF(OR(H6="",I6=""),"",H6*I6)</f>
        <v>15</v>
      </c>
      <c r="K6" s="32" t="str">
        <f aca="false">IF(J6="","",IF(J6&gt;=15,"High",IF(J6&gt;=8,"Medium","Low")))</f>
        <v>High</v>
      </c>
      <c r="L6" s="11" t="s">
        <v>149</v>
      </c>
      <c r="M6" s="10" t="s">
        <v>160</v>
      </c>
      <c r="N6" s="10" t="s">
        <v>161</v>
      </c>
      <c r="O6" s="10" t="s">
        <v>162</v>
      </c>
      <c r="P6" s="18" t="n">
        <v>46310</v>
      </c>
      <c r="Q6" s="11" t="s">
        <v>83</v>
      </c>
      <c r="R6" s="11" t="s">
        <v>163</v>
      </c>
      <c r="S6" s="18" t="n">
        <v>46275</v>
      </c>
      <c r="T6" s="31" t="n">
        <f aca="false">IF(OR(J6="",Q6="Closed",Q6="Occurred - moved to Issue"),0,J6+(1000-ROW())/100000)</f>
        <v>15.00994</v>
      </c>
    </row>
    <row r="7" customFormat="false" ht="75.75" hidden="false" customHeight="true" outlineLevel="0" collapsed="false">
      <c r="A7" s="11" t="s">
        <v>164</v>
      </c>
      <c r="B7" s="10" t="s">
        <v>165</v>
      </c>
      <c r="C7" s="10" t="s">
        <v>166</v>
      </c>
      <c r="D7" s="10" t="s">
        <v>167</v>
      </c>
      <c r="E7" s="10" t="s">
        <v>168</v>
      </c>
      <c r="F7" s="18" t="n">
        <v>46259</v>
      </c>
      <c r="G7" s="10" t="s">
        <v>159</v>
      </c>
      <c r="H7" s="11" t="n">
        <v>3</v>
      </c>
      <c r="I7" s="11" t="n">
        <v>5</v>
      </c>
      <c r="J7" s="31" t="n">
        <f aca="false">IF(OR(H7="",I7=""),"",H7*I7)</f>
        <v>15</v>
      </c>
      <c r="K7" s="32" t="str">
        <f aca="false">IF(J7="","",IF(J7&gt;=15,"High",IF(J7&gt;=8,"Medium","Low")))</f>
        <v>High</v>
      </c>
      <c r="L7" s="11" t="s">
        <v>149</v>
      </c>
      <c r="M7" s="10" t="s">
        <v>169</v>
      </c>
      <c r="N7" s="10" t="s">
        <v>170</v>
      </c>
      <c r="O7" s="10" t="s">
        <v>171</v>
      </c>
      <c r="P7" s="18" t="n">
        <v>46332</v>
      </c>
      <c r="Q7" s="11" t="s">
        <v>83</v>
      </c>
      <c r="R7" s="11" t="s">
        <v>172</v>
      </c>
      <c r="S7" s="18" t="n">
        <v>46275</v>
      </c>
      <c r="T7" s="31" t="n">
        <f aca="false">IF(OR(J7="",Q7="Closed",Q7="Occurred - moved to Issue"),0,J7+(1000-ROW())/100000)</f>
        <v>15.00993</v>
      </c>
    </row>
    <row r="8" customFormat="false" ht="75.75" hidden="false" customHeight="true" outlineLevel="0" collapsed="false">
      <c r="A8" s="11" t="s">
        <v>173</v>
      </c>
      <c r="B8" s="10" t="s">
        <v>174</v>
      </c>
      <c r="C8" s="10" t="s">
        <v>175</v>
      </c>
      <c r="D8" s="10" t="s">
        <v>176</v>
      </c>
      <c r="E8" s="10" t="s">
        <v>148</v>
      </c>
      <c r="F8" s="18" t="n">
        <v>46259</v>
      </c>
      <c r="G8" s="10" t="s">
        <v>148</v>
      </c>
      <c r="H8" s="11" t="n">
        <v>4</v>
      </c>
      <c r="I8" s="11" t="n">
        <v>4</v>
      </c>
      <c r="J8" s="31" t="n">
        <f aca="false">IF(OR(H8="",I8=""),"",H8*I8)</f>
        <v>16</v>
      </c>
      <c r="K8" s="32" t="str">
        <f aca="false">IF(J8="","",IF(J8&gt;=15,"High",IF(J8&gt;=8,"Medium","Low")))</f>
        <v>High</v>
      </c>
      <c r="L8" s="11" t="s">
        <v>149</v>
      </c>
      <c r="M8" s="10" t="s">
        <v>177</v>
      </c>
      <c r="N8" s="10" t="s">
        <v>178</v>
      </c>
      <c r="O8" s="10" t="s">
        <v>179</v>
      </c>
      <c r="P8" s="18" t="n">
        <v>46346</v>
      </c>
      <c r="Q8" s="11" t="s">
        <v>83</v>
      </c>
      <c r="R8" s="11" t="s">
        <v>180</v>
      </c>
      <c r="S8" s="18" t="n">
        <v>46275</v>
      </c>
      <c r="T8" s="31" t="n">
        <f aca="false">IF(OR(J8="",Q8="Closed",Q8="Occurred - moved to Issue"),0,J8+(1000-ROW())/100000)</f>
        <v>16.00992</v>
      </c>
    </row>
    <row r="9" customFormat="false" ht="75.75" hidden="false" customHeight="true" outlineLevel="0" collapsed="false">
      <c r="A9" s="11" t="s">
        <v>181</v>
      </c>
      <c r="B9" s="10" t="s">
        <v>182</v>
      </c>
      <c r="C9" s="10" t="s">
        <v>183</v>
      </c>
      <c r="D9" s="10" t="s">
        <v>184</v>
      </c>
      <c r="E9" s="10" t="s">
        <v>185</v>
      </c>
      <c r="F9" s="18" t="n">
        <v>46266</v>
      </c>
      <c r="G9" s="10" t="s">
        <v>186</v>
      </c>
      <c r="H9" s="11" t="n">
        <v>4</v>
      </c>
      <c r="I9" s="11" t="n">
        <v>3</v>
      </c>
      <c r="J9" s="31" t="n">
        <f aca="false">IF(OR(H9="",I9=""),"",H9*I9)</f>
        <v>12</v>
      </c>
      <c r="K9" s="32" t="str">
        <f aca="false">IF(J9="","",IF(J9&gt;=15,"High",IF(J9&gt;=8,"Medium","Low")))</f>
        <v>Medium</v>
      </c>
      <c r="L9" s="11" t="s">
        <v>149</v>
      </c>
      <c r="M9" s="10" t="s">
        <v>187</v>
      </c>
      <c r="N9" s="10" t="s">
        <v>188</v>
      </c>
      <c r="O9" s="10" t="s">
        <v>189</v>
      </c>
      <c r="P9" s="18" t="n">
        <v>46318</v>
      </c>
      <c r="Q9" s="11" t="s">
        <v>190</v>
      </c>
      <c r="R9" s="11" t="s">
        <v>191</v>
      </c>
      <c r="S9" s="18" t="n">
        <v>46275</v>
      </c>
      <c r="T9" s="31" t="n">
        <f aca="false">IF(OR(J9="",Q9="Closed",Q9="Occurred - moved to Issue"),0,J9+(1000-ROW())/100000)</f>
        <v>12.00991</v>
      </c>
    </row>
    <row r="10" customFormat="false" ht="75.75" hidden="false" customHeight="true" outlineLevel="0" collapsed="false">
      <c r="A10" s="11" t="s">
        <v>192</v>
      </c>
      <c r="B10" s="10" t="s">
        <v>193</v>
      </c>
      <c r="C10" s="10" t="s">
        <v>194</v>
      </c>
      <c r="D10" s="10" t="s">
        <v>195</v>
      </c>
      <c r="E10" s="10" t="s">
        <v>196</v>
      </c>
      <c r="F10" s="18" t="n">
        <v>46266</v>
      </c>
      <c r="G10" s="10" t="s">
        <v>196</v>
      </c>
      <c r="H10" s="11" t="n">
        <v>3</v>
      </c>
      <c r="I10" s="11" t="n">
        <v>3</v>
      </c>
      <c r="J10" s="31" t="n">
        <f aca="false">IF(OR(H10="",I10=""),"",H10*I10)</f>
        <v>9</v>
      </c>
      <c r="K10" s="32" t="str">
        <f aca="false">IF(J10="","",IF(J10&gt;=15,"High",IF(J10&gt;=8,"Medium","Low")))</f>
        <v>Medium</v>
      </c>
      <c r="L10" s="11" t="s">
        <v>149</v>
      </c>
      <c r="M10" s="10" t="s">
        <v>197</v>
      </c>
      <c r="N10" s="10" t="s">
        <v>198</v>
      </c>
      <c r="O10" s="10" t="s">
        <v>199</v>
      </c>
      <c r="P10" s="18" t="n">
        <v>46297</v>
      </c>
      <c r="Q10" s="11" t="s">
        <v>83</v>
      </c>
      <c r="R10" s="11" t="s">
        <v>200</v>
      </c>
      <c r="S10" s="18" t="n">
        <v>46275</v>
      </c>
      <c r="T10" s="31" t="n">
        <f aca="false">IF(OR(J10="",Q10="Closed",Q10="Occurred - moved to Issue"),0,J10+(1000-ROW())/100000)</f>
        <v>9.0099</v>
      </c>
    </row>
    <row r="11" customFormat="false" ht="61.5" hidden="false" customHeight="true" outlineLevel="0" collapsed="false">
      <c r="A11" s="11" t="s">
        <v>201</v>
      </c>
      <c r="B11" s="10" t="s">
        <v>202</v>
      </c>
      <c r="C11" s="10" t="s">
        <v>203</v>
      </c>
      <c r="D11" s="10" t="s">
        <v>204</v>
      </c>
      <c r="E11" s="10" t="s">
        <v>148</v>
      </c>
      <c r="F11" s="18" t="n">
        <v>46268</v>
      </c>
      <c r="G11" s="10" t="s">
        <v>148</v>
      </c>
      <c r="H11" s="11" t="n">
        <v>4</v>
      </c>
      <c r="I11" s="11" t="n">
        <v>3</v>
      </c>
      <c r="J11" s="31" t="n">
        <f aca="false">IF(OR(H11="",I11=""),"",H11*I11)</f>
        <v>12</v>
      </c>
      <c r="K11" s="32" t="str">
        <f aca="false">IF(J11="","",IF(J11&gt;=15,"High",IF(J11&gt;=8,"Medium","Low")))</f>
        <v>Medium</v>
      </c>
      <c r="L11" s="11" t="s">
        <v>205</v>
      </c>
      <c r="M11" s="10" t="s">
        <v>206</v>
      </c>
      <c r="N11" s="10" t="s">
        <v>207</v>
      </c>
      <c r="O11" s="10" t="s">
        <v>208</v>
      </c>
      <c r="P11" s="18" t="n">
        <v>46290</v>
      </c>
      <c r="Q11" s="11" t="s">
        <v>83</v>
      </c>
      <c r="R11" s="11" t="s">
        <v>209</v>
      </c>
      <c r="S11" s="18" t="n">
        <v>46275</v>
      </c>
      <c r="T11" s="31" t="n">
        <f aca="false">IF(OR(J11="",Q11="Closed",Q11="Occurred - moved to Issue"),0,J11+(1000-ROW())/100000)</f>
        <v>12.00989</v>
      </c>
    </row>
    <row r="12" customFormat="false" ht="61.5" hidden="false" customHeight="true" outlineLevel="0" collapsed="false">
      <c r="A12" s="11" t="s">
        <v>210</v>
      </c>
      <c r="B12" s="10" t="s">
        <v>211</v>
      </c>
      <c r="C12" s="10" t="s">
        <v>212</v>
      </c>
      <c r="D12" s="10" t="s">
        <v>213</v>
      </c>
      <c r="E12" s="10" t="s">
        <v>159</v>
      </c>
      <c r="F12" s="18" t="n">
        <v>46268</v>
      </c>
      <c r="G12" s="10" t="s">
        <v>214</v>
      </c>
      <c r="H12" s="11" t="n">
        <v>2</v>
      </c>
      <c r="I12" s="11" t="n">
        <v>4</v>
      </c>
      <c r="J12" s="31" t="n">
        <f aca="false">IF(OR(H12="",I12=""),"",H12*I12)</f>
        <v>8</v>
      </c>
      <c r="K12" s="32" t="str">
        <f aca="false">IF(J12="","",IF(J12&gt;=15,"High",IF(J12&gt;=8,"Medium","Low")))</f>
        <v>Medium</v>
      </c>
      <c r="L12" s="11" t="s">
        <v>149</v>
      </c>
      <c r="M12" s="10" t="s">
        <v>215</v>
      </c>
      <c r="N12" s="10" t="s">
        <v>216</v>
      </c>
      <c r="O12" s="10" t="s">
        <v>217</v>
      </c>
      <c r="P12" s="18" t="n">
        <v>46304</v>
      </c>
      <c r="Q12" s="11" t="s">
        <v>83</v>
      </c>
      <c r="R12" s="11"/>
      <c r="S12" s="18" t="n">
        <v>46275</v>
      </c>
      <c r="T12" s="31" t="n">
        <f aca="false">IF(OR(J12="",Q12="Closed",Q12="Occurred - moved to Issue"),0,J12+(1000-ROW())/100000)</f>
        <v>8.00988</v>
      </c>
    </row>
    <row r="13" customFormat="false" ht="61.5" hidden="false" customHeight="true" outlineLevel="0" collapsed="false">
      <c r="A13" s="11" t="s">
        <v>218</v>
      </c>
      <c r="B13" s="10" t="s">
        <v>219</v>
      </c>
      <c r="C13" s="10" t="s">
        <v>220</v>
      </c>
      <c r="D13" s="10" t="s">
        <v>221</v>
      </c>
      <c r="E13" s="10" t="s">
        <v>159</v>
      </c>
      <c r="F13" s="18" t="n">
        <v>46273</v>
      </c>
      <c r="G13" s="10" t="s">
        <v>222</v>
      </c>
      <c r="H13" s="11" t="n">
        <v>2</v>
      </c>
      <c r="I13" s="11" t="n">
        <v>4</v>
      </c>
      <c r="J13" s="31" t="n">
        <f aca="false">IF(OR(H13="",I13=""),"",H13*I13)</f>
        <v>8</v>
      </c>
      <c r="K13" s="32" t="str">
        <f aca="false">IF(J13="","",IF(J13&gt;=15,"High",IF(J13&gt;=8,"Medium","Low")))</f>
        <v>Medium</v>
      </c>
      <c r="L13" s="11" t="s">
        <v>149</v>
      </c>
      <c r="M13" s="10" t="s">
        <v>223</v>
      </c>
      <c r="N13" s="10" t="s">
        <v>224</v>
      </c>
      <c r="O13" s="10" t="s">
        <v>225</v>
      </c>
      <c r="P13" s="18" t="n">
        <v>46339</v>
      </c>
      <c r="Q13" s="11" t="s">
        <v>83</v>
      </c>
      <c r="R13" s="11"/>
      <c r="S13" s="18" t="n">
        <v>46275</v>
      </c>
      <c r="T13" s="31" t="n">
        <f aca="false">IF(OR(J13="",Q13="Closed",Q13="Occurred - moved to Issue"),0,J13+(1000-ROW())/100000)</f>
        <v>8.00987</v>
      </c>
    </row>
    <row r="14" customFormat="false" ht="48" hidden="false" customHeight="true" outlineLevel="0" collapsed="false">
      <c r="A14" s="11" t="s">
        <v>226</v>
      </c>
      <c r="B14" s="10" t="s">
        <v>145</v>
      </c>
      <c r="C14" s="10" t="s">
        <v>227</v>
      </c>
      <c r="D14" s="10" t="s">
        <v>228</v>
      </c>
      <c r="E14" s="10" t="s">
        <v>229</v>
      </c>
      <c r="F14" s="18" t="n">
        <v>46273</v>
      </c>
      <c r="G14" s="10" t="s">
        <v>229</v>
      </c>
      <c r="H14" s="11" t="n">
        <v>2</v>
      </c>
      <c r="I14" s="11" t="n">
        <v>3</v>
      </c>
      <c r="J14" s="31" t="n">
        <f aca="false">IF(OR(H14="",I14=""),"",H14*I14)</f>
        <v>6</v>
      </c>
      <c r="K14" s="32" t="str">
        <f aca="false">IF(J14="","",IF(J14&gt;=15,"High",IF(J14&gt;=8,"Medium","Low")))</f>
        <v>Low</v>
      </c>
      <c r="L14" s="11" t="s">
        <v>149</v>
      </c>
      <c r="M14" s="10" t="s">
        <v>230</v>
      </c>
      <c r="N14" s="10" t="s">
        <v>231</v>
      </c>
      <c r="O14" s="10" t="s">
        <v>232</v>
      </c>
      <c r="P14" s="18" t="n">
        <v>46332</v>
      </c>
      <c r="Q14" s="11" t="s">
        <v>83</v>
      </c>
      <c r="R14" s="11"/>
      <c r="S14" s="18" t="n">
        <v>46275</v>
      </c>
      <c r="T14" s="31" t="n">
        <f aca="false">IF(OR(J14="",Q14="Closed",Q14="Occurred - moved to Issue"),0,J14+(1000-ROW())/100000)</f>
        <v>6.00986</v>
      </c>
    </row>
    <row r="15" customFormat="false" ht="19.5" hidden="false" customHeight="true" outlineLevel="0" collapsed="false">
      <c r="A15" s="11"/>
      <c r="B15" s="10"/>
      <c r="C15" s="10"/>
      <c r="D15" s="10"/>
      <c r="E15" s="10"/>
      <c r="F15" s="18"/>
      <c r="G15" s="10"/>
      <c r="H15" s="11"/>
      <c r="I15" s="11"/>
      <c r="J15" s="31" t="str">
        <f aca="false">IF(OR(H15="",I15=""),"",H15*I15)</f>
        <v/>
      </c>
      <c r="K15" s="32" t="str">
        <f aca="false">IF(J15="","",IF(J15&gt;=15,"High",IF(J15&gt;=8,"Medium","Low")))</f>
        <v/>
      </c>
      <c r="L15" s="11"/>
      <c r="M15" s="10"/>
      <c r="N15" s="10"/>
      <c r="O15" s="10"/>
      <c r="P15" s="18"/>
      <c r="Q15" s="11"/>
      <c r="R15" s="11"/>
      <c r="S15" s="18"/>
      <c r="T15" s="31" t="n">
        <f aca="false">IF(OR(J15="",Q15="Closed",Q15="Occurred - moved to Issue"),0,J15+(1000-ROW())/100000)</f>
        <v>0</v>
      </c>
    </row>
    <row r="16" customFormat="false" ht="19.5" hidden="false" customHeight="true" outlineLevel="0" collapsed="false">
      <c r="A16" s="11"/>
      <c r="B16" s="10"/>
      <c r="C16" s="10"/>
      <c r="D16" s="10"/>
      <c r="E16" s="10"/>
      <c r="F16" s="18"/>
      <c r="G16" s="10"/>
      <c r="H16" s="11"/>
      <c r="I16" s="11"/>
      <c r="J16" s="31" t="str">
        <f aca="false">IF(OR(H16="",I16=""),"",H16*I16)</f>
        <v/>
      </c>
      <c r="K16" s="32" t="str">
        <f aca="false">IF(J16="","",IF(J16&gt;=15,"High",IF(J16&gt;=8,"Medium","Low")))</f>
        <v/>
      </c>
      <c r="L16" s="11"/>
      <c r="M16" s="10"/>
      <c r="N16" s="10"/>
      <c r="O16" s="10"/>
      <c r="P16" s="18"/>
      <c r="Q16" s="11"/>
      <c r="R16" s="11"/>
      <c r="S16" s="18"/>
      <c r="T16" s="31" t="n">
        <f aca="false">IF(OR(J16="",Q16="Closed",Q16="Occurred - moved to Issue"),0,J16+(1000-ROW())/100000)</f>
        <v>0</v>
      </c>
    </row>
    <row r="17" customFormat="false" ht="19.5" hidden="false" customHeight="true" outlineLevel="0" collapsed="false">
      <c r="A17" s="11"/>
      <c r="B17" s="10"/>
      <c r="C17" s="10"/>
      <c r="D17" s="10"/>
      <c r="E17" s="10"/>
      <c r="F17" s="18"/>
      <c r="G17" s="10"/>
      <c r="H17" s="11"/>
      <c r="I17" s="11"/>
      <c r="J17" s="31" t="str">
        <f aca="false">IF(OR(H17="",I17=""),"",H17*I17)</f>
        <v/>
      </c>
      <c r="K17" s="32" t="str">
        <f aca="false">IF(J17="","",IF(J17&gt;=15,"High",IF(J17&gt;=8,"Medium","Low")))</f>
        <v/>
      </c>
      <c r="L17" s="11"/>
      <c r="M17" s="10"/>
      <c r="N17" s="10"/>
      <c r="O17" s="10"/>
      <c r="P17" s="18"/>
      <c r="Q17" s="11"/>
      <c r="R17" s="11"/>
      <c r="S17" s="18"/>
      <c r="T17" s="31" t="n">
        <f aca="false">IF(OR(J17="",Q17="Closed",Q17="Occurred - moved to Issue"),0,J17+(1000-ROW())/100000)</f>
        <v>0</v>
      </c>
    </row>
    <row r="18" customFormat="false" ht="19.5" hidden="false" customHeight="true" outlineLevel="0" collapsed="false">
      <c r="A18" s="11"/>
      <c r="B18" s="10"/>
      <c r="C18" s="10"/>
      <c r="D18" s="10"/>
      <c r="E18" s="10"/>
      <c r="F18" s="18"/>
      <c r="G18" s="10"/>
      <c r="H18" s="11"/>
      <c r="I18" s="11"/>
      <c r="J18" s="31" t="str">
        <f aca="false">IF(OR(H18="",I18=""),"",H18*I18)</f>
        <v/>
      </c>
      <c r="K18" s="32" t="str">
        <f aca="false">IF(J18="","",IF(J18&gt;=15,"High",IF(J18&gt;=8,"Medium","Low")))</f>
        <v/>
      </c>
      <c r="L18" s="11"/>
      <c r="M18" s="10"/>
      <c r="N18" s="10"/>
      <c r="O18" s="10"/>
      <c r="P18" s="18"/>
      <c r="Q18" s="11"/>
      <c r="R18" s="11"/>
      <c r="S18" s="18"/>
      <c r="T18" s="31" t="n">
        <f aca="false">IF(OR(J18="",Q18="Closed",Q18="Occurred - moved to Issue"),0,J18+(1000-ROW())/100000)</f>
        <v>0</v>
      </c>
    </row>
    <row r="19" customFormat="false" ht="19.5" hidden="false" customHeight="true" outlineLevel="0" collapsed="false">
      <c r="A19" s="11"/>
      <c r="B19" s="10"/>
      <c r="C19" s="10"/>
      <c r="D19" s="10"/>
      <c r="E19" s="10"/>
      <c r="F19" s="18"/>
      <c r="G19" s="10"/>
      <c r="H19" s="11"/>
      <c r="I19" s="11"/>
      <c r="J19" s="31" t="str">
        <f aca="false">IF(OR(H19="",I19=""),"",H19*I19)</f>
        <v/>
      </c>
      <c r="K19" s="32" t="str">
        <f aca="false">IF(J19="","",IF(J19&gt;=15,"High",IF(J19&gt;=8,"Medium","Low")))</f>
        <v/>
      </c>
      <c r="L19" s="11"/>
      <c r="M19" s="10"/>
      <c r="N19" s="10"/>
      <c r="O19" s="10"/>
      <c r="P19" s="18"/>
      <c r="Q19" s="11"/>
      <c r="R19" s="11"/>
      <c r="S19" s="18"/>
      <c r="T19" s="31" t="n">
        <f aca="false">IF(OR(J19="",Q19="Closed",Q19="Occurred - moved to Issue"),0,J19+(1000-ROW())/100000)</f>
        <v>0</v>
      </c>
    </row>
    <row r="20" customFormat="false" ht="19.5" hidden="false" customHeight="true" outlineLevel="0" collapsed="false">
      <c r="A20" s="11"/>
      <c r="B20" s="10"/>
      <c r="C20" s="10"/>
      <c r="D20" s="10"/>
      <c r="E20" s="10"/>
      <c r="F20" s="18"/>
      <c r="G20" s="10"/>
      <c r="H20" s="11"/>
      <c r="I20" s="11"/>
      <c r="J20" s="31" t="str">
        <f aca="false">IF(OR(H20="",I20=""),"",H20*I20)</f>
        <v/>
      </c>
      <c r="K20" s="32" t="str">
        <f aca="false">IF(J20="","",IF(J20&gt;=15,"High",IF(J20&gt;=8,"Medium","Low")))</f>
        <v/>
      </c>
      <c r="L20" s="11"/>
      <c r="M20" s="10"/>
      <c r="N20" s="10"/>
      <c r="O20" s="10"/>
      <c r="P20" s="18"/>
      <c r="Q20" s="11"/>
      <c r="R20" s="11"/>
      <c r="S20" s="18"/>
      <c r="T20" s="31" t="n">
        <f aca="false">IF(OR(J20="",Q20="Closed",Q20="Occurred - moved to Issue"),0,J20+(1000-ROW())/100000)</f>
        <v>0</v>
      </c>
    </row>
    <row r="21" customFormat="false" ht="19.5" hidden="false" customHeight="true" outlineLevel="0" collapsed="false">
      <c r="A21" s="11"/>
      <c r="B21" s="10"/>
      <c r="C21" s="10"/>
      <c r="D21" s="10"/>
      <c r="E21" s="10"/>
      <c r="F21" s="18"/>
      <c r="G21" s="10"/>
      <c r="H21" s="11"/>
      <c r="I21" s="11"/>
      <c r="J21" s="31" t="str">
        <f aca="false">IF(OR(H21="",I21=""),"",H21*I21)</f>
        <v/>
      </c>
      <c r="K21" s="32" t="str">
        <f aca="false">IF(J21="","",IF(J21&gt;=15,"High",IF(J21&gt;=8,"Medium","Low")))</f>
        <v/>
      </c>
      <c r="L21" s="11"/>
      <c r="M21" s="10"/>
      <c r="N21" s="10"/>
      <c r="O21" s="10"/>
      <c r="P21" s="18"/>
      <c r="Q21" s="11"/>
      <c r="R21" s="11"/>
      <c r="S21" s="18"/>
      <c r="T21" s="31" t="n">
        <f aca="false">IF(OR(J21="",Q21="Closed",Q21="Occurred - moved to Issue"),0,J21+(1000-ROW())/100000)</f>
        <v>0</v>
      </c>
    </row>
    <row r="22" customFormat="false" ht="19.5" hidden="false" customHeight="true" outlineLevel="0" collapsed="false">
      <c r="A22" s="11"/>
      <c r="B22" s="10"/>
      <c r="C22" s="10"/>
      <c r="D22" s="10"/>
      <c r="E22" s="10"/>
      <c r="F22" s="18"/>
      <c r="G22" s="10"/>
      <c r="H22" s="11"/>
      <c r="I22" s="11"/>
      <c r="J22" s="31" t="str">
        <f aca="false">IF(OR(H22="",I22=""),"",H22*I22)</f>
        <v/>
      </c>
      <c r="K22" s="32" t="str">
        <f aca="false">IF(J22="","",IF(J22&gt;=15,"High",IF(J22&gt;=8,"Medium","Low")))</f>
        <v/>
      </c>
      <c r="L22" s="11"/>
      <c r="M22" s="10"/>
      <c r="N22" s="10"/>
      <c r="O22" s="10"/>
      <c r="P22" s="18"/>
      <c r="Q22" s="11"/>
      <c r="R22" s="11"/>
      <c r="S22" s="18"/>
      <c r="T22" s="31" t="n">
        <f aca="false">IF(OR(J22="",Q22="Closed",Q22="Occurred - moved to Issue"),0,J22+(1000-ROW())/100000)</f>
        <v>0</v>
      </c>
    </row>
    <row r="23" customFormat="false" ht="19.5" hidden="false" customHeight="true" outlineLevel="0" collapsed="false">
      <c r="A23" s="11"/>
      <c r="B23" s="10"/>
      <c r="C23" s="10"/>
      <c r="D23" s="10"/>
      <c r="E23" s="10"/>
      <c r="F23" s="18"/>
      <c r="G23" s="10"/>
      <c r="H23" s="11"/>
      <c r="I23" s="11"/>
      <c r="J23" s="31" t="str">
        <f aca="false">IF(OR(H23="",I23=""),"",H23*I23)</f>
        <v/>
      </c>
      <c r="K23" s="32" t="str">
        <f aca="false">IF(J23="","",IF(J23&gt;=15,"High",IF(J23&gt;=8,"Medium","Low")))</f>
        <v/>
      </c>
      <c r="L23" s="11"/>
      <c r="M23" s="10"/>
      <c r="N23" s="10"/>
      <c r="O23" s="10"/>
      <c r="P23" s="18"/>
      <c r="Q23" s="11"/>
      <c r="R23" s="11"/>
      <c r="S23" s="18"/>
      <c r="T23" s="31" t="n">
        <f aca="false">IF(OR(J23="",Q23="Closed",Q23="Occurred - moved to Issue"),0,J23+(1000-ROW())/100000)</f>
        <v>0</v>
      </c>
    </row>
    <row r="24" customFormat="false" ht="19.5" hidden="false" customHeight="true" outlineLevel="0" collapsed="false">
      <c r="A24" s="11"/>
      <c r="B24" s="10"/>
      <c r="C24" s="10"/>
      <c r="D24" s="10"/>
      <c r="E24" s="10"/>
      <c r="F24" s="18"/>
      <c r="G24" s="10"/>
      <c r="H24" s="11"/>
      <c r="I24" s="11"/>
      <c r="J24" s="31" t="str">
        <f aca="false">IF(OR(H24="",I24=""),"",H24*I24)</f>
        <v/>
      </c>
      <c r="K24" s="32" t="str">
        <f aca="false">IF(J24="","",IF(J24&gt;=15,"High",IF(J24&gt;=8,"Medium","Low")))</f>
        <v/>
      </c>
      <c r="L24" s="11"/>
      <c r="M24" s="10"/>
      <c r="N24" s="10"/>
      <c r="O24" s="10"/>
      <c r="P24" s="18"/>
      <c r="Q24" s="11"/>
      <c r="R24" s="11"/>
      <c r="S24" s="18"/>
      <c r="T24" s="31" t="n">
        <f aca="false">IF(OR(J24="",Q24="Closed",Q24="Occurred - moved to Issue"),0,J24+(1000-ROW())/100000)</f>
        <v>0</v>
      </c>
    </row>
    <row r="25" customFormat="false" ht="19.5" hidden="false" customHeight="true" outlineLevel="0" collapsed="false">
      <c r="A25" s="11"/>
      <c r="B25" s="10"/>
      <c r="C25" s="10"/>
      <c r="D25" s="10"/>
      <c r="E25" s="10"/>
      <c r="F25" s="18"/>
      <c r="G25" s="10"/>
      <c r="H25" s="11"/>
      <c r="I25" s="11"/>
      <c r="J25" s="31" t="str">
        <f aca="false">IF(OR(H25="",I25=""),"",H25*I25)</f>
        <v/>
      </c>
      <c r="K25" s="32" t="str">
        <f aca="false">IF(J25="","",IF(J25&gt;=15,"High",IF(J25&gt;=8,"Medium","Low")))</f>
        <v/>
      </c>
      <c r="L25" s="11"/>
      <c r="M25" s="10"/>
      <c r="N25" s="10"/>
      <c r="O25" s="10"/>
      <c r="P25" s="18"/>
      <c r="Q25" s="11"/>
      <c r="R25" s="11"/>
      <c r="S25" s="18"/>
      <c r="T25" s="31" t="n">
        <f aca="false">IF(OR(J25="",Q25="Closed",Q25="Occurred - moved to Issue"),0,J25+(1000-ROW())/100000)</f>
        <v>0</v>
      </c>
    </row>
    <row r="26" customFormat="false" ht="19.5" hidden="false" customHeight="true" outlineLevel="0" collapsed="false">
      <c r="A26" s="11"/>
      <c r="B26" s="10"/>
      <c r="C26" s="10"/>
      <c r="D26" s="10"/>
      <c r="E26" s="10"/>
      <c r="F26" s="18"/>
      <c r="G26" s="10"/>
      <c r="H26" s="11"/>
      <c r="I26" s="11"/>
      <c r="J26" s="31" t="str">
        <f aca="false">IF(OR(H26="",I26=""),"",H26*I26)</f>
        <v/>
      </c>
      <c r="K26" s="32" t="str">
        <f aca="false">IF(J26="","",IF(J26&gt;=15,"High",IF(J26&gt;=8,"Medium","Low")))</f>
        <v/>
      </c>
      <c r="L26" s="11"/>
      <c r="M26" s="10"/>
      <c r="N26" s="10"/>
      <c r="O26" s="10"/>
      <c r="P26" s="18"/>
      <c r="Q26" s="11"/>
      <c r="R26" s="11"/>
      <c r="S26" s="18"/>
      <c r="T26" s="31" t="n">
        <f aca="false">IF(OR(J26="",Q26="Closed",Q26="Occurred - moved to Issue"),0,J26+(1000-ROW())/100000)</f>
        <v>0</v>
      </c>
    </row>
    <row r="27" customFormat="false" ht="19.5" hidden="false" customHeight="true" outlineLevel="0" collapsed="false">
      <c r="A27" s="11"/>
      <c r="B27" s="10"/>
      <c r="C27" s="10"/>
      <c r="D27" s="10"/>
      <c r="E27" s="10"/>
      <c r="F27" s="18"/>
      <c r="G27" s="10"/>
      <c r="H27" s="11"/>
      <c r="I27" s="11"/>
      <c r="J27" s="31" t="str">
        <f aca="false">IF(OR(H27="",I27=""),"",H27*I27)</f>
        <v/>
      </c>
      <c r="K27" s="32" t="str">
        <f aca="false">IF(J27="","",IF(J27&gt;=15,"High",IF(J27&gt;=8,"Medium","Low")))</f>
        <v/>
      </c>
      <c r="L27" s="11"/>
      <c r="M27" s="10"/>
      <c r="N27" s="10"/>
      <c r="O27" s="10"/>
      <c r="P27" s="18"/>
      <c r="Q27" s="11"/>
      <c r="R27" s="11"/>
      <c r="S27" s="18"/>
      <c r="T27" s="31" t="n">
        <f aca="false">IF(OR(J27="",Q27="Closed",Q27="Occurred - moved to Issue"),0,J27+(1000-ROW())/100000)</f>
        <v>0</v>
      </c>
    </row>
    <row r="28" customFormat="false" ht="19.5" hidden="false" customHeight="true" outlineLevel="0" collapsed="false">
      <c r="A28" s="11"/>
      <c r="B28" s="10"/>
      <c r="C28" s="10"/>
      <c r="D28" s="10"/>
      <c r="E28" s="10"/>
      <c r="F28" s="18"/>
      <c r="G28" s="10"/>
      <c r="H28" s="11"/>
      <c r="I28" s="11"/>
      <c r="J28" s="31" t="str">
        <f aca="false">IF(OR(H28="",I28=""),"",H28*I28)</f>
        <v/>
      </c>
      <c r="K28" s="32" t="str">
        <f aca="false">IF(J28="","",IF(J28&gt;=15,"High",IF(J28&gt;=8,"Medium","Low")))</f>
        <v/>
      </c>
      <c r="L28" s="11"/>
      <c r="M28" s="10"/>
      <c r="N28" s="10"/>
      <c r="O28" s="10"/>
      <c r="P28" s="18"/>
      <c r="Q28" s="11"/>
      <c r="R28" s="11"/>
      <c r="S28" s="18"/>
      <c r="T28" s="31" t="n">
        <f aca="false">IF(OR(J28="",Q28="Closed",Q28="Occurred - moved to Issue"),0,J28+(1000-ROW())/100000)</f>
        <v>0</v>
      </c>
    </row>
    <row r="29" customFormat="false" ht="19.5" hidden="false" customHeight="true" outlineLevel="0" collapsed="false">
      <c r="A29" s="11"/>
      <c r="B29" s="10"/>
      <c r="C29" s="10"/>
      <c r="D29" s="10"/>
      <c r="E29" s="10"/>
      <c r="F29" s="18"/>
      <c r="G29" s="10"/>
      <c r="H29" s="11"/>
      <c r="I29" s="11"/>
      <c r="J29" s="31" t="str">
        <f aca="false">IF(OR(H29="",I29=""),"",H29*I29)</f>
        <v/>
      </c>
      <c r="K29" s="32" t="str">
        <f aca="false">IF(J29="","",IF(J29&gt;=15,"High",IF(J29&gt;=8,"Medium","Low")))</f>
        <v/>
      </c>
      <c r="L29" s="11"/>
      <c r="M29" s="10"/>
      <c r="N29" s="10"/>
      <c r="O29" s="10"/>
      <c r="P29" s="18"/>
      <c r="Q29" s="11"/>
      <c r="R29" s="11"/>
      <c r="S29" s="18"/>
      <c r="T29" s="31" t="n">
        <f aca="false">IF(OR(J29="",Q29="Closed",Q29="Occurred - moved to Issue"),0,J29+(1000-ROW())/100000)</f>
        <v>0</v>
      </c>
    </row>
    <row r="30" customFormat="false" ht="19.5" hidden="false" customHeight="true" outlineLevel="0" collapsed="false">
      <c r="A30" s="11"/>
      <c r="B30" s="10"/>
      <c r="C30" s="10"/>
      <c r="D30" s="10"/>
      <c r="E30" s="10"/>
      <c r="F30" s="18"/>
      <c r="G30" s="10"/>
      <c r="H30" s="11"/>
      <c r="I30" s="11"/>
      <c r="J30" s="31" t="str">
        <f aca="false">IF(OR(H30="",I30=""),"",H30*I30)</f>
        <v/>
      </c>
      <c r="K30" s="32" t="str">
        <f aca="false">IF(J30="","",IF(J30&gt;=15,"High",IF(J30&gt;=8,"Medium","Low")))</f>
        <v/>
      </c>
      <c r="L30" s="11"/>
      <c r="M30" s="10"/>
      <c r="N30" s="10"/>
      <c r="O30" s="10"/>
      <c r="P30" s="18"/>
      <c r="Q30" s="11"/>
      <c r="R30" s="11"/>
      <c r="S30" s="18"/>
      <c r="T30" s="31" t="n">
        <f aca="false">IF(OR(J30="",Q30="Closed",Q30="Occurred - moved to Issue"),0,J30+(1000-ROW())/100000)</f>
        <v>0</v>
      </c>
    </row>
    <row r="31" customFormat="false" ht="19.5" hidden="false" customHeight="true" outlineLevel="0" collapsed="false">
      <c r="A31" s="11"/>
      <c r="B31" s="10"/>
      <c r="C31" s="10"/>
      <c r="D31" s="10"/>
      <c r="E31" s="10"/>
      <c r="F31" s="18"/>
      <c r="G31" s="10"/>
      <c r="H31" s="11"/>
      <c r="I31" s="11"/>
      <c r="J31" s="31" t="str">
        <f aca="false">IF(OR(H31="",I31=""),"",H31*I31)</f>
        <v/>
      </c>
      <c r="K31" s="32" t="str">
        <f aca="false">IF(J31="","",IF(J31&gt;=15,"High",IF(J31&gt;=8,"Medium","Low")))</f>
        <v/>
      </c>
      <c r="L31" s="11"/>
      <c r="M31" s="10"/>
      <c r="N31" s="10"/>
      <c r="O31" s="10"/>
      <c r="P31" s="18"/>
      <c r="Q31" s="11"/>
      <c r="R31" s="11"/>
      <c r="S31" s="18"/>
      <c r="T31" s="31" t="n">
        <f aca="false">IF(OR(J31="",Q31="Closed",Q31="Occurred - moved to Issue"),0,J31+(1000-ROW())/100000)</f>
        <v>0</v>
      </c>
    </row>
    <row r="32" customFormat="false" ht="19.5" hidden="false" customHeight="true" outlineLevel="0" collapsed="false">
      <c r="A32" s="11"/>
      <c r="B32" s="10"/>
      <c r="C32" s="10"/>
      <c r="D32" s="10"/>
      <c r="E32" s="10"/>
      <c r="F32" s="18"/>
      <c r="G32" s="10"/>
      <c r="H32" s="11"/>
      <c r="I32" s="11"/>
      <c r="J32" s="31" t="str">
        <f aca="false">IF(OR(H32="",I32=""),"",H32*I32)</f>
        <v/>
      </c>
      <c r="K32" s="32" t="str">
        <f aca="false">IF(J32="","",IF(J32&gt;=15,"High",IF(J32&gt;=8,"Medium","Low")))</f>
        <v/>
      </c>
      <c r="L32" s="11"/>
      <c r="M32" s="10"/>
      <c r="N32" s="10"/>
      <c r="O32" s="10"/>
      <c r="P32" s="18"/>
      <c r="Q32" s="11"/>
      <c r="R32" s="11"/>
      <c r="S32" s="18"/>
      <c r="T32" s="31" t="n">
        <f aca="false">IF(OR(J32="",Q32="Closed",Q32="Occurred - moved to Issue"),0,J32+(1000-ROW())/100000)</f>
        <v>0</v>
      </c>
    </row>
    <row r="33" customFormat="false" ht="19.5" hidden="false" customHeight="true" outlineLevel="0" collapsed="false">
      <c r="A33" s="11"/>
      <c r="B33" s="10"/>
      <c r="C33" s="10"/>
      <c r="D33" s="10"/>
      <c r="E33" s="10"/>
      <c r="F33" s="18"/>
      <c r="G33" s="10"/>
      <c r="H33" s="11"/>
      <c r="I33" s="11"/>
      <c r="J33" s="31" t="str">
        <f aca="false">IF(OR(H33="",I33=""),"",H33*I33)</f>
        <v/>
      </c>
      <c r="K33" s="32" t="str">
        <f aca="false">IF(J33="","",IF(J33&gt;=15,"High",IF(J33&gt;=8,"Medium","Low")))</f>
        <v/>
      </c>
      <c r="L33" s="11"/>
      <c r="M33" s="10"/>
      <c r="N33" s="10"/>
      <c r="O33" s="10"/>
      <c r="P33" s="18"/>
      <c r="Q33" s="11"/>
      <c r="R33" s="11"/>
      <c r="S33" s="18"/>
      <c r="T33" s="31" t="n">
        <f aca="false">IF(OR(J33="",Q33="Closed",Q33="Occurred - moved to Issue"),0,J33+(1000-ROW())/100000)</f>
        <v>0</v>
      </c>
    </row>
    <row r="34" customFormat="false" ht="19.5" hidden="false" customHeight="true" outlineLevel="0" collapsed="false">
      <c r="A34" s="11"/>
      <c r="B34" s="10"/>
      <c r="C34" s="10"/>
      <c r="D34" s="10"/>
      <c r="E34" s="10"/>
      <c r="F34" s="18"/>
      <c r="G34" s="10"/>
      <c r="H34" s="11"/>
      <c r="I34" s="11"/>
      <c r="J34" s="31" t="str">
        <f aca="false">IF(OR(H34="",I34=""),"",H34*I34)</f>
        <v/>
      </c>
      <c r="K34" s="32" t="str">
        <f aca="false">IF(J34="","",IF(J34&gt;=15,"High",IF(J34&gt;=8,"Medium","Low")))</f>
        <v/>
      </c>
      <c r="L34" s="11"/>
      <c r="M34" s="10"/>
      <c r="N34" s="10"/>
      <c r="O34" s="10"/>
      <c r="P34" s="18"/>
      <c r="Q34" s="11"/>
      <c r="R34" s="11"/>
      <c r="S34" s="18"/>
      <c r="T34" s="31" t="n">
        <f aca="false">IF(OR(J34="",Q34="Closed",Q34="Occurred - moved to Issue"),0,J34+(1000-ROW())/100000)</f>
        <v>0</v>
      </c>
    </row>
    <row r="35" customFormat="false" ht="19.5" hidden="false" customHeight="true" outlineLevel="0" collapsed="false">
      <c r="A35" s="11"/>
      <c r="B35" s="10"/>
      <c r="C35" s="10"/>
      <c r="D35" s="10"/>
      <c r="E35" s="10"/>
      <c r="F35" s="18"/>
      <c r="G35" s="10"/>
      <c r="H35" s="11"/>
      <c r="I35" s="11"/>
      <c r="J35" s="31" t="str">
        <f aca="false">IF(OR(H35="",I35=""),"",H35*I35)</f>
        <v/>
      </c>
      <c r="K35" s="32" t="str">
        <f aca="false">IF(J35="","",IF(J35&gt;=15,"High",IF(J35&gt;=8,"Medium","Low")))</f>
        <v/>
      </c>
      <c r="L35" s="11"/>
      <c r="M35" s="10"/>
      <c r="N35" s="10"/>
      <c r="O35" s="10"/>
      <c r="P35" s="18"/>
      <c r="Q35" s="11"/>
      <c r="R35" s="11"/>
      <c r="S35" s="18"/>
      <c r="T35" s="31" t="n">
        <f aca="false">IF(OR(J35="",Q35="Closed",Q35="Occurred - moved to Issue"),0,J35+(1000-ROW())/100000)</f>
        <v>0</v>
      </c>
    </row>
    <row r="36" customFormat="false" ht="19.5" hidden="false" customHeight="true" outlineLevel="0" collapsed="false">
      <c r="A36" s="11"/>
      <c r="B36" s="10"/>
      <c r="C36" s="10"/>
      <c r="D36" s="10"/>
      <c r="E36" s="10"/>
      <c r="F36" s="18"/>
      <c r="G36" s="10"/>
      <c r="H36" s="11"/>
      <c r="I36" s="11"/>
      <c r="J36" s="31" t="str">
        <f aca="false">IF(OR(H36="",I36=""),"",H36*I36)</f>
        <v/>
      </c>
      <c r="K36" s="32" t="str">
        <f aca="false">IF(J36="","",IF(J36&gt;=15,"High",IF(J36&gt;=8,"Medium","Low")))</f>
        <v/>
      </c>
      <c r="L36" s="11"/>
      <c r="M36" s="10"/>
      <c r="N36" s="10"/>
      <c r="O36" s="10"/>
      <c r="P36" s="18"/>
      <c r="Q36" s="11"/>
      <c r="R36" s="11"/>
      <c r="S36" s="18"/>
      <c r="T36" s="31" t="n">
        <f aca="false">IF(OR(J36="",Q36="Closed",Q36="Occurred - moved to Issue"),0,J36+(1000-ROW())/100000)</f>
        <v>0</v>
      </c>
    </row>
    <row r="37" customFormat="false" ht="19.5" hidden="false" customHeight="true" outlineLevel="0" collapsed="false">
      <c r="A37" s="11"/>
      <c r="B37" s="10"/>
      <c r="C37" s="10"/>
      <c r="D37" s="10"/>
      <c r="E37" s="10"/>
      <c r="F37" s="18"/>
      <c r="G37" s="10"/>
      <c r="H37" s="11"/>
      <c r="I37" s="11"/>
      <c r="J37" s="31" t="str">
        <f aca="false">IF(OR(H37="",I37=""),"",H37*I37)</f>
        <v/>
      </c>
      <c r="K37" s="32" t="str">
        <f aca="false">IF(J37="","",IF(J37&gt;=15,"High",IF(J37&gt;=8,"Medium","Low")))</f>
        <v/>
      </c>
      <c r="L37" s="11"/>
      <c r="M37" s="10"/>
      <c r="N37" s="10"/>
      <c r="O37" s="10"/>
      <c r="P37" s="18"/>
      <c r="Q37" s="11"/>
      <c r="R37" s="11"/>
      <c r="S37" s="18"/>
      <c r="T37" s="31" t="n">
        <f aca="false">IF(OR(J37="",Q37="Closed",Q37="Occurred - moved to Issue"),0,J37+(1000-ROW())/100000)</f>
        <v>0</v>
      </c>
    </row>
    <row r="38" customFormat="false" ht="19.5" hidden="false" customHeight="true" outlineLevel="0" collapsed="false">
      <c r="A38" s="11"/>
      <c r="B38" s="10"/>
      <c r="C38" s="10"/>
      <c r="D38" s="10"/>
      <c r="E38" s="10"/>
      <c r="F38" s="18"/>
      <c r="G38" s="10"/>
      <c r="H38" s="11"/>
      <c r="I38" s="11"/>
      <c r="J38" s="31" t="str">
        <f aca="false">IF(OR(H38="",I38=""),"",H38*I38)</f>
        <v/>
      </c>
      <c r="K38" s="32" t="str">
        <f aca="false">IF(J38="","",IF(J38&gt;=15,"High",IF(J38&gt;=8,"Medium","Low")))</f>
        <v/>
      </c>
      <c r="L38" s="11"/>
      <c r="M38" s="10"/>
      <c r="N38" s="10"/>
      <c r="O38" s="10"/>
      <c r="P38" s="18"/>
      <c r="Q38" s="11"/>
      <c r="R38" s="11"/>
      <c r="S38" s="18"/>
      <c r="T38" s="31" t="n">
        <f aca="false">IF(OR(J38="",Q38="Closed",Q38="Occurred - moved to Issue"),0,J38+(1000-ROW())/100000)</f>
        <v>0</v>
      </c>
    </row>
    <row r="39" customFormat="false" ht="19.5" hidden="false" customHeight="true" outlineLevel="0" collapsed="false">
      <c r="A39" s="11"/>
      <c r="B39" s="10"/>
      <c r="C39" s="10"/>
      <c r="D39" s="10"/>
      <c r="E39" s="10"/>
      <c r="F39" s="18"/>
      <c r="G39" s="10"/>
      <c r="H39" s="11"/>
      <c r="I39" s="11"/>
      <c r="J39" s="31" t="str">
        <f aca="false">IF(OR(H39="",I39=""),"",H39*I39)</f>
        <v/>
      </c>
      <c r="K39" s="32" t="str">
        <f aca="false">IF(J39="","",IF(J39&gt;=15,"High",IF(J39&gt;=8,"Medium","Low")))</f>
        <v/>
      </c>
      <c r="L39" s="11"/>
      <c r="M39" s="10"/>
      <c r="N39" s="10"/>
      <c r="O39" s="10"/>
      <c r="P39" s="18"/>
      <c r="Q39" s="11"/>
      <c r="R39" s="11"/>
      <c r="S39" s="18"/>
      <c r="T39" s="31" t="n">
        <f aca="false">IF(OR(J39="",Q39="Closed",Q39="Occurred - moved to Issue"),0,J39+(1000-ROW())/100000)</f>
        <v>0</v>
      </c>
    </row>
    <row r="40" customFormat="false" ht="19.5" hidden="false" customHeight="true" outlineLevel="0" collapsed="false">
      <c r="A40" s="11"/>
      <c r="B40" s="10"/>
      <c r="C40" s="10"/>
      <c r="D40" s="10"/>
      <c r="E40" s="10"/>
      <c r="F40" s="18"/>
      <c r="G40" s="10"/>
      <c r="H40" s="11"/>
      <c r="I40" s="11"/>
      <c r="J40" s="31" t="str">
        <f aca="false">IF(OR(H40="",I40=""),"",H40*I40)</f>
        <v/>
      </c>
      <c r="K40" s="32" t="str">
        <f aca="false">IF(J40="","",IF(J40&gt;=15,"High",IF(J40&gt;=8,"Medium","Low")))</f>
        <v/>
      </c>
      <c r="L40" s="11"/>
      <c r="M40" s="10"/>
      <c r="N40" s="10"/>
      <c r="O40" s="10"/>
      <c r="P40" s="18"/>
      <c r="Q40" s="11"/>
      <c r="R40" s="11"/>
      <c r="S40" s="18"/>
      <c r="T40" s="31" t="n">
        <f aca="false">IF(OR(J40="",Q40="Closed",Q40="Occurred - moved to Issue"),0,J40+(1000-ROW())/100000)</f>
        <v>0</v>
      </c>
    </row>
    <row r="41" customFormat="false" ht="19.5" hidden="false" customHeight="true" outlineLevel="0" collapsed="false">
      <c r="A41" s="11"/>
      <c r="B41" s="10"/>
      <c r="C41" s="10"/>
      <c r="D41" s="10"/>
      <c r="E41" s="10"/>
      <c r="F41" s="18"/>
      <c r="G41" s="10"/>
      <c r="H41" s="11"/>
      <c r="I41" s="11"/>
      <c r="J41" s="31" t="str">
        <f aca="false">IF(OR(H41="",I41=""),"",H41*I41)</f>
        <v/>
      </c>
      <c r="K41" s="32" t="str">
        <f aca="false">IF(J41="","",IF(J41&gt;=15,"High",IF(J41&gt;=8,"Medium","Low")))</f>
        <v/>
      </c>
      <c r="L41" s="11"/>
      <c r="M41" s="10"/>
      <c r="N41" s="10"/>
      <c r="O41" s="10"/>
      <c r="P41" s="18"/>
      <c r="Q41" s="11"/>
      <c r="R41" s="11"/>
      <c r="S41" s="18"/>
      <c r="T41" s="31" t="n">
        <f aca="false">IF(OR(J41="",Q41="Closed",Q41="Occurred - moved to Issue"),0,J41+(1000-ROW())/100000)</f>
        <v>0</v>
      </c>
    </row>
    <row r="42" customFormat="false" ht="19.5" hidden="false" customHeight="true" outlineLevel="0" collapsed="false">
      <c r="A42" s="11"/>
      <c r="B42" s="10"/>
      <c r="C42" s="10"/>
      <c r="D42" s="10"/>
      <c r="E42" s="10"/>
      <c r="F42" s="18"/>
      <c r="G42" s="10"/>
      <c r="H42" s="11"/>
      <c r="I42" s="11"/>
      <c r="J42" s="31" t="str">
        <f aca="false">IF(OR(H42="",I42=""),"",H42*I42)</f>
        <v/>
      </c>
      <c r="K42" s="32" t="str">
        <f aca="false">IF(J42="","",IF(J42&gt;=15,"High",IF(J42&gt;=8,"Medium","Low")))</f>
        <v/>
      </c>
      <c r="L42" s="11"/>
      <c r="M42" s="10"/>
      <c r="N42" s="10"/>
      <c r="O42" s="10"/>
      <c r="P42" s="18"/>
      <c r="Q42" s="11"/>
      <c r="R42" s="11"/>
      <c r="S42" s="18"/>
      <c r="T42" s="31" t="n">
        <f aca="false">IF(OR(J42="",Q42="Closed",Q42="Occurred - moved to Issue"),0,J42+(1000-ROW())/100000)</f>
        <v>0</v>
      </c>
    </row>
    <row r="43" customFormat="false" ht="19.5" hidden="false" customHeight="true" outlineLevel="0" collapsed="false">
      <c r="A43" s="11"/>
      <c r="B43" s="10"/>
      <c r="C43" s="10"/>
      <c r="D43" s="10"/>
      <c r="E43" s="10"/>
      <c r="F43" s="18"/>
      <c r="G43" s="10"/>
      <c r="H43" s="11"/>
      <c r="I43" s="11"/>
      <c r="J43" s="31" t="str">
        <f aca="false">IF(OR(H43="",I43=""),"",H43*I43)</f>
        <v/>
      </c>
      <c r="K43" s="32" t="str">
        <f aca="false">IF(J43="","",IF(J43&gt;=15,"High",IF(J43&gt;=8,"Medium","Low")))</f>
        <v/>
      </c>
      <c r="L43" s="11"/>
      <c r="M43" s="10"/>
      <c r="N43" s="10"/>
      <c r="O43" s="10"/>
      <c r="P43" s="18"/>
      <c r="Q43" s="11"/>
      <c r="R43" s="11"/>
      <c r="S43" s="18"/>
      <c r="T43" s="31" t="n">
        <f aca="false">IF(OR(J43="",Q43="Closed",Q43="Occurred - moved to Issue"),0,J43+(1000-ROW())/100000)</f>
        <v>0</v>
      </c>
    </row>
    <row r="44" customFormat="false" ht="19.5" hidden="false" customHeight="true" outlineLevel="0" collapsed="false">
      <c r="A44" s="11"/>
      <c r="B44" s="10"/>
      <c r="C44" s="10"/>
      <c r="D44" s="10"/>
      <c r="E44" s="10"/>
      <c r="F44" s="18"/>
      <c r="G44" s="10"/>
      <c r="H44" s="11"/>
      <c r="I44" s="11"/>
      <c r="J44" s="31" t="str">
        <f aca="false">IF(OR(H44="",I44=""),"",H44*I44)</f>
        <v/>
      </c>
      <c r="K44" s="32" t="str">
        <f aca="false">IF(J44="","",IF(J44&gt;=15,"High",IF(J44&gt;=8,"Medium","Low")))</f>
        <v/>
      </c>
      <c r="L44" s="11"/>
      <c r="M44" s="10"/>
      <c r="N44" s="10"/>
      <c r="O44" s="10"/>
      <c r="P44" s="18"/>
      <c r="Q44" s="11"/>
      <c r="R44" s="11"/>
      <c r="S44" s="18"/>
      <c r="T44" s="31" t="n">
        <f aca="false">IF(OR(J44="",Q44="Closed",Q44="Occurred - moved to Issue"),0,J44+(1000-ROW())/100000)</f>
        <v>0</v>
      </c>
    </row>
    <row r="45" customFormat="false" ht="19.5" hidden="false" customHeight="true" outlineLevel="0" collapsed="false">
      <c r="A45" s="11"/>
      <c r="B45" s="10"/>
      <c r="C45" s="10"/>
      <c r="D45" s="10"/>
      <c r="E45" s="10"/>
      <c r="F45" s="18"/>
      <c r="G45" s="10"/>
      <c r="H45" s="11"/>
      <c r="I45" s="11"/>
      <c r="J45" s="31" t="str">
        <f aca="false">IF(OR(H45="",I45=""),"",H45*I45)</f>
        <v/>
      </c>
      <c r="K45" s="32" t="str">
        <f aca="false">IF(J45="","",IF(J45&gt;=15,"High",IF(J45&gt;=8,"Medium","Low")))</f>
        <v/>
      </c>
      <c r="L45" s="11"/>
      <c r="M45" s="10"/>
      <c r="N45" s="10"/>
      <c r="O45" s="10"/>
      <c r="P45" s="18"/>
      <c r="Q45" s="11"/>
      <c r="R45" s="11"/>
      <c r="S45" s="18"/>
      <c r="T45" s="31" t="n">
        <f aca="false">IF(OR(J45="",Q45="Closed",Q45="Occurred - moved to Issue"),0,J45+(1000-ROW())/100000)</f>
        <v>0</v>
      </c>
    </row>
    <row r="46" customFormat="false" ht="19.5" hidden="false" customHeight="true" outlineLevel="0" collapsed="false">
      <c r="A46" s="11"/>
      <c r="B46" s="10"/>
      <c r="C46" s="10"/>
      <c r="D46" s="10"/>
      <c r="E46" s="10"/>
      <c r="F46" s="18"/>
      <c r="G46" s="10"/>
      <c r="H46" s="11"/>
      <c r="I46" s="11"/>
      <c r="J46" s="31" t="str">
        <f aca="false">IF(OR(H46="",I46=""),"",H46*I46)</f>
        <v/>
      </c>
      <c r="K46" s="32" t="str">
        <f aca="false">IF(J46="","",IF(J46&gt;=15,"High",IF(J46&gt;=8,"Medium","Low")))</f>
        <v/>
      </c>
      <c r="L46" s="11"/>
      <c r="M46" s="10"/>
      <c r="N46" s="10"/>
      <c r="O46" s="10"/>
      <c r="P46" s="18"/>
      <c r="Q46" s="11"/>
      <c r="R46" s="11"/>
      <c r="S46" s="18"/>
      <c r="T46" s="31" t="n">
        <f aca="false">IF(OR(J46="",Q46="Closed",Q46="Occurred - moved to Issue"),0,J46+(1000-ROW())/100000)</f>
        <v>0</v>
      </c>
    </row>
    <row r="47" customFormat="false" ht="19.5" hidden="false" customHeight="true" outlineLevel="0" collapsed="false">
      <c r="A47" s="11"/>
      <c r="B47" s="10"/>
      <c r="C47" s="10"/>
      <c r="D47" s="10"/>
      <c r="E47" s="10"/>
      <c r="F47" s="18"/>
      <c r="G47" s="10"/>
      <c r="H47" s="11"/>
      <c r="I47" s="11"/>
      <c r="J47" s="31" t="str">
        <f aca="false">IF(OR(H47="",I47=""),"",H47*I47)</f>
        <v/>
      </c>
      <c r="K47" s="32" t="str">
        <f aca="false">IF(J47="","",IF(J47&gt;=15,"High",IF(J47&gt;=8,"Medium","Low")))</f>
        <v/>
      </c>
      <c r="L47" s="11"/>
      <c r="M47" s="10"/>
      <c r="N47" s="10"/>
      <c r="O47" s="10"/>
      <c r="P47" s="18"/>
      <c r="Q47" s="11"/>
      <c r="R47" s="11"/>
      <c r="S47" s="18"/>
      <c r="T47" s="31" t="n">
        <f aca="false">IF(OR(J47="",Q47="Closed",Q47="Occurred - moved to Issue"),0,J47+(1000-ROW())/100000)</f>
        <v>0</v>
      </c>
    </row>
    <row r="48" customFormat="false" ht="19.5" hidden="false" customHeight="true" outlineLevel="0" collapsed="false">
      <c r="A48" s="11"/>
      <c r="B48" s="10"/>
      <c r="C48" s="10"/>
      <c r="D48" s="10"/>
      <c r="E48" s="10"/>
      <c r="F48" s="18"/>
      <c r="G48" s="10"/>
      <c r="H48" s="11"/>
      <c r="I48" s="11"/>
      <c r="J48" s="31" t="str">
        <f aca="false">IF(OR(H48="",I48=""),"",H48*I48)</f>
        <v/>
      </c>
      <c r="K48" s="32" t="str">
        <f aca="false">IF(J48="","",IF(J48&gt;=15,"High",IF(J48&gt;=8,"Medium","Low")))</f>
        <v/>
      </c>
      <c r="L48" s="11"/>
      <c r="M48" s="10"/>
      <c r="N48" s="10"/>
      <c r="O48" s="10"/>
      <c r="P48" s="18"/>
      <c r="Q48" s="11"/>
      <c r="R48" s="11"/>
      <c r="S48" s="18"/>
      <c r="T48" s="31" t="n">
        <f aca="false">IF(OR(J48="",Q48="Closed",Q48="Occurred - moved to Issue"),0,J48+(1000-ROW())/100000)</f>
        <v>0</v>
      </c>
    </row>
    <row r="49" customFormat="false" ht="19.5" hidden="false" customHeight="true" outlineLevel="0" collapsed="false">
      <c r="A49" s="11"/>
      <c r="B49" s="10"/>
      <c r="C49" s="10"/>
      <c r="D49" s="10"/>
      <c r="E49" s="10"/>
      <c r="F49" s="18"/>
      <c r="G49" s="10"/>
      <c r="H49" s="11"/>
      <c r="I49" s="11"/>
      <c r="J49" s="31" t="str">
        <f aca="false">IF(OR(H49="",I49=""),"",H49*I49)</f>
        <v/>
      </c>
      <c r="K49" s="32" t="str">
        <f aca="false">IF(J49="","",IF(J49&gt;=15,"High",IF(J49&gt;=8,"Medium","Low")))</f>
        <v/>
      </c>
      <c r="L49" s="11"/>
      <c r="M49" s="10"/>
      <c r="N49" s="10"/>
      <c r="O49" s="10"/>
      <c r="P49" s="18"/>
      <c r="Q49" s="11"/>
      <c r="R49" s="11"/>
      <c r="S49" s="18"/>
      <c r="T49" s="31" t="n">
        <f aca="false">IF(OR(J49="",Q49="Closed",Q49="Occurred - moved to Issue"),0,J49+(1000-ROW())/100000)</f>
        <v>0</v>
      </c>
    </row>
    <row r="50" customFormat="false" ht="19.5" hidden="false" customHeight="true" outlineLevel="0" collapsed="false">
      <c r="A50" s="11"/>
      <c r="B50" s="10"/>
      <c r="C50" s="10"/>
      <c r="D50" s="10"/>
      <c r="E50" s="10"/>
      <c r="F50" s="18"/>
      <c r="G50" s="10"/>
      <c r="H50" s="11"/>
      <c r="I50" s="11"/>
      <c r="J50" s="31" t="str">
        <f aca="false">IF(OR(H50="",I50=""),"",H50*I50)</f>
        <v/>
      </c>
      <c r="K50" s="32" t="str">
        <f aca="false">IF(J50="","",IF(J50&gt;=15,"High",IF(J50&gt;=8,"Medium","Low")))</f>
        <v/>
      </c>
      <c r="L50" s="11"/>
      <c r="M50" s="10"/>
      <c r="N50" s="10"/>
      <c r="O50" s="10"/>
      <c r="P50" s="18"/>
      <c r="Q50" s="11"/>
      <c r="R50" s="11"/>
      <c r="S50" s="18"/>
      <c r="T50" s="31" t="n">
        <f aca="false">IF(OR(J50="",Q50="Closed",Q50="Occurred - moved to Issue"),0,J50+(1000-ROW())/100000)</f>
        <v>0</v>
      </c>
    </row>
    <row r="51" customFormat="false" ht="19.5" hidden="false" customHeight="true" outlineLevel="0" collapsed="false">
      <c r="A51" s="11"/>
      <c r="B51" s="10"/>
      <c r="C51" s="10"/>
      <c r="D51" s="10"/>
      <c r="E51" s="10"/>
      <c r="F51" s="18"/>
      <c r="G51" s="10"/>
      <c r="H51" s="11"/>
      <c r="I51" s="11"/>
      <c r="J51" s="31" t="str">
        <f aca="false">IF(OR(H51="",I51=""),"",H51*I51)</f>
        <v/>
      </c>
      <c r="K51" s="32" t="str">
        <f aca="false">IF(J51="","",IF(J51&gt;=15,"High",IF(J51&gt;=8,"Medium","Low")))</f>
        <v/>
      </c>
      <c r="L51" s="11"/>
      <c r="M51" s="10"/>
      <c r="N51" s="10"/>
      <c r="O51" s="10"/>
      <c r="P51" s="18"/>
      <c r="Q51" s="11"/>
      <c r="R51" s="11"/>
      <c r="S51" s="18"/>
      <c r="T51" s="31" t="n">
        <f aca="false">IF(OR(J51="",Q51="Closed",Q51="Occurred - moved to Issue"),0,J51+(1000-ROW())/100000)</f>
        <v>0</v>
      </c>
    </row>
    <row r="52" customFormat="false" ht="19.5" hidden="false" customHeight="true" outlineLevel="0" collapsed="false">
      <c r="A52" s="11"/>
      <c r="B52" s="10"/>
      <c r="C52" s="10"/>
      <c r="D52" s="10"/>
      <c r="E52" s="10"/>
      <c r="F52" s="18"/>
      <c r="G52" s="10"/>
      <c r="H52" s="11"/>
      <c r="I52" s="11"/>
      <c r="J52" s="31" t="str">
        <f aca="false">IF(OR(H52="",I52=""),"",H52*I52)</f>
        <v/>
      </c>
      <c r="K52" s="32" t="str">
        <f aca="false">IF(J52="","",IF(J52&gt;=15,"High",IF(J52&gt;=8,"Medium","Low")))</f>
        <v/>
      </c>
      <c r="L52" s="11"/>
      <c r="M52" s="10"/>
      <c r="N52" s="10"/>
      <c r="O52" s="10"/>
      <c r="P52" s="18"/>
      <c r="Q52" s="11"/>
      <c r="R52" s="11"/>
      <c r="S52" s="18"/>
      <c r="T52" s="31" t="n">
        <f aca="false">IF(OR(J52="",Q52="Closed",Q52="Occurred - moved to Issue"),0,J52+(1000-ROW())/100000)</f>
        <v>0</v>
      </c>
    </row>
    <row r="53" customFormat="false" ht="19.5" hidden="false" customHeight="true" outlineLevel="0" collapsed="false">
      <c r="A53" s="11"/>
      <c r="B53" s="10"/>
      <c r="C53" s="10"/>
      <c r="D53" s="10"/>
      <c r="E53" s="10"/>
      <c r="F53" s="18"/>
      <c r="G53" s="10"/>
      <c r="H53" s="11"/>
      <c r="I53" s="11"/>
      <c r="J53" s="31" t="str">
        <f aca="false">IF(OR(H53="",I53=""),"",H53*I53)</f>
        <v/>
      </c>
      <c r="K53" s="32" t="str">
        <f aca="false">IF(J53="","",IF(J53&gt;=15,"High",IF(J53&gt;=8,"Medium","Low")))</f>
        <v/>
      </c>
      <c r="L53" s="11"/>
      <c r="M53" s="10"/>
      <c r="N53" s="10"/>
      <c r="O53" s="10"/>
      <c r="P53" s="18"/>
      <c r="Q53" s="11"/>
      <c r="R53" s="11"/>
      <c r="S53" s="18"/>
      <c r="T53" s="31" t="n">
        <f aca="false">IF(OR(J53="",Q53="Closed",Q53="Occurred - moved to Issue"),0,J53+(1000-ROW())/100000)</f>
        <v>0</v>
      </c>
    </row>
    <row r="54" customFormat="false" ht="19.5" hidden="false" customHeight="true" outlineLevel="0" collapsed="false">
      <c r="A54" s="11"/>
      <c r="B54" s="10"/>
      <c r="C54" s="10"/>
      <c r="D54" s="10"/>
      <c r="E54" s="10"/>
      <c r="F54" s="18"/>
      <c r="G54" s="10"/>
      <c r="H54" s="11"/>
      <c r="I54" s="11"/>
      <c r="J54" s="31" t="str">
        <f aca="false">IF(OR(H54="",I54=""),"",H54*I54)</f>
        <v/>
      </c>
      <c r="K54" s="32" t="str">
        <f aca="false">IF(J54="","",IF(J54&gt;=15,"High",IF(J54&gt;=8,"Medium","Low")))</f>
        <v/>
      </c>
      <c r="L54" s="11"/>
      <c r="M54" s="10"/>
      <c r="N54" s="10"/>
      <c r="O54" s="10"/>
      <c r="P54" s="18"/>
      <c r="Q54" s="11"/>
      <c r="R54" s="11"/>
      <c r="S54" s="18"/>
      <c r="T54" s="31" t="n">
        <f aca="false">IF(OR(J54="",Q54="Closed",Q54="Occurred - moved to Issue"),0,J54+(1000-ROW())/100000)</f>
        <v>0</v>
      </c>
    </row>
  </sheetData>
  <autoFilter ref="A4:T54"/>
  <conditionalFormatting sqref="K5:K54">
    <cfRule type="cellIs" priority="2" operator="equal" aboveAverage="0" equalAverage="0" bottom="0" percent="0" rank="0" text="" dxfId="0">
      <formula>"High"</formula>
    </cfRule>
    <cfRule type="cellIs" priority="3" operator="equal" aboveAverage="0" equalAverage="0" bottom="0" percent="0" rank="0" text="" dxfId="1">
      <formula>"Medium"</formula>
    </cfRule>
    <cfRule type="cellIs" priority="4" operator="equal" aboveAverage="0" equalAverage="0" bottom="0" percent="0" rank="0" text="" dxfId="2">
      <formula>"Low"</formula>
    </cfRule>
  </conditionalFormatting>
  <dataValidations count="5">
    <dataValidation allowBlank="true" error="Please pick a value from the list." errorStyle="stop" errorTitle="Invalid entry" operator="between" showDropDown="false" showErrorMessage="false" showInputMessage="false" sqref="H5:H54" type="list">
      <formula1>"1,2,3,4,5"</formula1>
      <formula2>0</formula2>
    </dataValidation>
    <dataValidation allowBlank="true" error="Please pick a value from the list." errorStyle="stop" errorTitle="Invalid entry" operator="between" showDropDown="false" showErrorMessage="false" showInputMessage="false" sqref="I5:I54" type="list">
      <formula1>"1,2,3,4,5"</formula1>
      <formula2>0</formula2>
    </dataValidation>
    <dataValidation allowBlank="true" error="Please pick a value from the list." errorStyle="stop" errorTitle="Invalid entry" operator="between" showDropDown="false" showErrorMessage="false" showInputMessage="false" sqref="L5:L54" type="list">
      <formula1>"Avoid,Mitigate,Transfer,Accept"</formula1>
      <formula2>0</formula2>
    </dataValidation>
    <dataValidation allowBlank="true" error="Please pick a value from the list." errorStyle="stop" errorTitle="Invalid entry" operator="between" showDropDown="false" showErrorMessage="false" showInputMessage="false" sqref="Q5:Q54" type="list">
      <formula1>"Open,Monitoring,Occurred - moved to Issue,Closed"</formula1>
      <formula2>0</formula2>
    </dataValidation>
    <dataValidation allowBlank="true" error="Please pick a value from the list." errorStyle="stop" errorTitle="Invalid entry" operator="between" showDropDown="false" showErrorMessage="false" showInputMessage="false" sqref="B5:B54" type="list">
      <formula1>"Compliance &amp; Regulatory,Security &amp; Data Privacy,Operations,Adoption &amp; Change,Data,Resourcing,Scope,Third Party,Quality,Technical"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4"/>
    <col collapsed="false" customWidth="true" hidden="false" outlineLevel="0" max="3" min="3" style="0" width="38"/>
    <col collapsed="false" customWidth="true" hidden="false" outlineLevel="0" max="4" min="4" style="0" width="32"/>
    <col collapsed="false" customWidth="true" hidden="false" outlineLevel="0" max="5" min="5" style="0" width="36"/>
    <col collapsed="false" customWidth="true" hidden="false" outlineLevel="0" max="6" min="6" style="0" width="15"/>
    <col collapsed="false" customWidth="true" hidden="false" outlineLevel="0" max="7" min="7" style="0" width="13"/>
    <col collapsed="false" customWidth="true" hidden="false" outlineLevel="0" max="8" min="8" style="0" width="17"/>
    <col collapsed="false" customWidth="true" hidden="false" outlineLevel="0" max="9" min="9" style="0" width="34"/>
    <col collapsed="false" customWidth="true" hidden="false" outlineLevel="0" max="10" min="10" style="0" width="13"/>
    <col collapsed="false" customWidth="true" hidden="false" outlineLevel="0" max="11" min="11" style="0" width="16"/>
    <col collapsed="false" customWidth="true" hidden="false" outlineLevel="0" max="12" min="12" style="0" width="10"/>
    <col collapsed="false" customWidth="true" hidden="false" outlineLevel="0" max="13" min="13" style="0" width="30"/>
    <col collapsed="false" customWidth="true" hidden="false" outlineLevel="0" max="14" min="14" style="0" width="12"/>
    <col collapsed="false" customWidth="true" hidden="false" outlineLevel="0" max="15" min="15" style="0" width="13"/>
  </cols>
  <sheetData>
    <row r="1" customFormat="false" ht="25.5" hidden="false" customHeight="true" outlineLevel="0" collapsed="false">
      <c r="A1" s="27" t="s">
        <v>233</v>
      </c>
    </row>
    <row r="2" customFormat="false" ht="15" hidden="false" customHeight="false" outlineLevel="0" collapsed="false">
      <c r="A2" s="13" t="s">
        <v>127</v>
      </c>
    </row>
    <row r="3" customFormat="false" ht="15" hidden="false" customHeight="false" outlineLevel="0" collapsed="false">
      <c r="A3" s="28" t="s">
        <v>128</v>
      </c>
    </row>
    <row r="4" customFormat="false" ht="33.75" hidden="false" customHeight="true" outlineLevel="0" collapsed="false">
      <c r="A4" s="29" t="s">
        <v>91</v>
      </c>
      <c r="B4" s="29" t="s">
        <v>129</v>
      </c>
      <c r="C4" s="29" t="s">
        <v>22</v>
      </c>
      <c r="D4" s="29" t="s">
        <v>234</v>
      </c>
      <c r="E4" s="29" t="s">
        <v>235</v>
      </c>
      <c r="F4" s="29" t="s">
        <v>132</v>
      </c>
      <c r="G4" s="29" t="s">
        <v>133</v>
      </c>
      <c r="H4" s="29" t="s">
        <v>236</v>
      </c>
      <c r="I4" s="29" t="s">
        <v>237</v>
      </c>
      <c r="J4" s="29" t="s">
        <v>238</v>
      </c>
      <c r="K4" s="29" t="s">
        <v>95</v>
      </c>
      <c r="L4" s="30" t="s">
        <v>239</v>
      </c>
      <c r="M4" s="29" t="s">
        <v>240</v>
      </c>
      <c r="N4" s="29" t="s">
        <v>141</v>
      </c>
      <c r="O4" s="29" t="s">
        <v>142</v>
      </c>
    </row>
    <row r="5" customFormat="false" ht="48" hidden="false" customHeight="true" outlineLevel="0" collapsed="false">
      <c r="A5" s="11" t="s">
        <v>241</v>
      </c>
      <c r="B5" s="10" t="s">
        <v>242</v>
      </c>
      <c r="C5" s="10" t="s">
        <v>243</v>
      </c>
      <c r="D5" s="10" t="s">
        <v>244</v>
      </c>
      <c r="E5" s="10" t="s">
        <v>245</v>
      </c>
      <c r="F5" s="10" t="s">
        <v>148</v>
      </c>
      <c r="G5" s="18" t="n">
        <v>46252</v>
      </c>
      <c r="H5" s="10" t="s">
        <v>148</v>
      </c>
      <c r="I5" s="10" t="s">
        <v>246</v>
      </c>
      <c r="J5" s="18" t="n">
        <v>46346</v>
      </c>
      <c r="K5" s="11" t="s">
        <v>247</v>
      </c>
      <c r="L5" s="32" t="str">
        <f aca="true">IF(OR(J5="",K5="Confirmed",K5="Invalid - raised as Risk/Issue"),"",IF(TODAY()&gt;J5,"Overdue","No"))</f>
        <v>No</v>
      </c>
      <c r="M5" s="10" t="s">
        <v>248</v>
      </c>
      <c r="N5" s="11" t="s">
        <v>173</v>
      </c>
      <c r="O5" s="18" t="n">
        <v>46275</v>
      </c>
    </row>
    <row r="6" customFormat="false" ht="48" hidden="false" customHeight="true" outlineLevel="0" collapsed="false">
      <c r="A6" s="11" t="s">
        <v>249</v>
      </c>
      <c r="B6" s="10" t="s">
        <v>250</v>
      </c>
      <c r="C6" s="10" t="s">
        <v>251</v>
      </c>
      <c r="D6" s="10" t="s">
        <v>252</v>
      </c>
      <c r="E6" s="10" t="s">
        <v>253</v>
      </c>
      <c r="F6" s="10" t="s">
        <v>159</v>
      </c>
      <c r="G6" s="18" t="n">
        <v>46252</v>
      </c>
      <c r="H6" s="10" t="s">
        <v>159</v>
      </c>
      <c r="I6" s="10" t="s">
        <v>254</v>
      </c>
      <c r="J6" s="18" t="n">
        <v>46295</v>
      </c>
      <c r="K6" s="11" t="s">
        <v>247</v>
      </c>
      <c r="L6" s="32" t="str">
        <f aca="true">IF(OR(J6="",K6="Confirmed",K6="Invalid - raised as Risk/Issue"),"",IF(TODAY()&gt;J6,"Overdue","No"))</f>
        <v>No</v>
      </c>
      <c r="M6" s="10" t="s">
        <v>255</v>
      </c>
      <c r="N6" s="11" t="s">
        <v>256</v>
      </c>
      <c r="O6" s="18" t="n">
        <v>46275</v>
      </c>
    </row>
    <row r="7" customFormat="false" ht="48" hidden="false" customHeight="true" outlineLevel="0" collapsed="false">
      <c r="A7" s="11" t="s">
        <v>257</v>
      </c>
      <c r="B7" s="10" t="s">
        <v>250</v>
      </c>
      <c r="C7" s="10" t="s">
        <v>258</v>
      </c>
      <c r="D7" s="10" t="s">
        <v>259</v>
      </c>
      <c r="E7" s="10" t="s">
        <v>260</v>
      </c>
      <c r="F7" s="10" t="s">
        <v>159</v>
      </c>
      <c r="G7" s="18" t="n">
        <v>46254</v>
      </c>
      <c r="H7" s="10" t="s">
        <v>261</v>
      </c>
      <c r="I7" s="10" t="s">
        <v>262</v>
      </c>
      <c r="J7" s="18" t="n">
        <v>46283</v>
      </c>
      <c r="K7" s="11" t="s">
        <v>263</v>
      </c>
      <c r="L7" s="32" t="str">
        <f aca="true">IF(OR(J7="",K7="Confirmed",K7="Invalid - raised as Risk/Issue"),"",IF(TODAY()&gt;J7,"Overdue","No"))</f>
        <v/>
      </c>
      <c r="M7" s="10" t="s">
        <v>264</v>
      </c>
      <c r="N7" s="11" t="s">
        <v>265</v>
      </c>
      <c r="O7" s="18" t="n">
        <v>46275</v>
      </c>
    </row>
    <row r="8" customFormat="false" ht="48" hidden="false" customHeight="true" outlineLevel="0" collapsed="false">
      <c r="A8" s="11" t="s">
        <v>266</v>
      </c>
      <c r="B8" s="10" t="s">
        <v>202</v>
      </c>
      <c r="C8" s="10" t="s">
        <v>267</v>
      </c>
      <c r="D8" s="10" t="s">
        <v>268</v>
      </c>
      <c r="E8" s="10" t="s">
        <v>269</v>
      </c>
      <c r="F8" s="10" t="s">
        <v>148</v>
      </c>
      <c r="G8" s="18" t="n">
        <v>46254</v>
      </c>
      <c r="H8" s="10" t="s">
        <v>270</v>
      </c>
      <c r="I8" s="10" t="s">
        <v>271</v>
      </c>
      <c r="J8" s="18" t="n">
        <v>46290</v>
      </c>
      <c r="K8" s="11" t="s">
        <v>272</v>
      </c>
      <c r="L8" s="32" t="str">
        <f aca="true">IF(OR(J8="",K8="Confirmed",K8="Invalid - raised as Risk/Issue"),"",IF(TODAY()&gt;J8,"Overdue","No"))</f>
        <v>No</v>
      </c>
      <c r="M8" s="10"/>
      <c r="N8" s="11" t="s">
        <v>201</v>
      </c>
      <c r="O8" s="18" t="n">
        <v>46275</v>
      </c>
    </row>
    <row r="9" customFormat="false" ht="33.75" hidden="false" customHeight="true" outlineLevel="0" collapsed="false">
      <c r="A9" s="11" t="s">
        <v>200</v>
      </c>
      <c r="B9" s="10" t="s">
        <v>193</v>
      </c>
      <c r="C9" s="10" t="s">
        <v>273</v>
      </c>
      <c r="D9" s="10" t="s">
        <v>274</v>
      </c>
      <c r="E9" s="10" t="s">
        <v>275</v>
      </c>
      <c r="F9" s="10" t="s">
        <v>196</v>
      </c>
      <c r="G9" s="18" t="n">
        <v>46259</v>
      </c>
      <c r="H9" s="10" t="s">
        <v>168</v>
      </c>
      <c r="I9" s="10" t="s">
        <v>276</v>
      </c>
      <c r="J9" s="18" t="n">
        <v>46297</v>
      </c>
      <c r="K9" s="11" t="s">
        <v>272</v>
      </c>
      <c r="L9" s="32" t="str">
        <f aca="true">IF(OR(J9="",K9="Confirmed",K9="Invalid - raised as Risk/Issue"),"",IF(TODAY()&gt;J9,"Overdue","No"))</f>
        <v>No</v>
      </c>
      <c r="M9" s="10"/>
      <c r="N9" s="11" t="s">
        <v>192</v>
      </c>
      <c r="O9" s="18" t="n">
        <v>46275</v>
      </c>
    </row>
    <row r="10" customFormat="false" ht="48" hidden="false" customHeight="true" outlineLevel="0" collapsed="false">
      <c r="A10" s="11" t="s">
        <v>277</v>
      </c>
      <c r="B10" s="10" t="s">
        <v>182</v>
      </c>
      <c r="C10" s="10" t="s">
        <v>278</v>
      </c>
      <c r="D10" s="10" t="s">
        <v>279</v>
      </c>
      <c r="E10" s="10" t="s">
        <v>280</v>
      </c>
      <c r="F10" s="10" t="s">
        <v>185</v>
      </c>
      <c r="G10" s="18" t="n">
        <v>46266</v>
      </c>
      <c r="H10" s="10" t="s">
        <v>186</v>
      </c>
      <c r="I10" s="10" t="s">
        <v>281</v>
      </c>
      <c r="J10" s="18" t="n">
        <v>46283</v>
      </c>
      <c r="K10" s="11" t="s">
        <v>247</v>
      </c>
      <c r="L10" s="32" t="str">
        <f aca="true">IF(OR(J10="",K10="Confirmed",K10="Invalid - raised as Risk/Issue"),"",IF(TODAY()&gt;J10,"Overdue","No"))</f>
        <v>No</v>
      </c>
      <c r="M10" s="10"/>
      <c r="N10" s="11" t="s">
        <v>181</v>
      </c>
      <c r="O10" s="18" t="n">
        <v>46275</v>
      </c>
    </row>
    <row r="11" customFormat="false" ht="48" hidden="false" customHeight="true" outlineLevel="0" collapsed="false">
      <c r="A11" s="11" t="s">
        <v>282</v>
      </c>
      <c r="B11" s="10" t="s">
        <v>283</v>
      </c>
      <c r="C11" s="10" t="s">
        <v>284</v>
      </c>
      <c r="D11" s="10" t="s">
        <v>285</v>
      </c>
      <c r="E11" s="10" t="s">
        <v>286</v>
      </c>
      <c r="F11" s="10" t="s">
        <v>158</v>
      </c>
      <c r="G11" s="18" t="n">
        <v>46266</v>
      </c>
      <c r="H11" s="10" t="s">
        <v>287</v>
      </c>
      <c r="I11" s="10" t="s">
        <v>288</v>
      </c>
      <c r="J11" s="18" t="n">
        <v>46304</v>
      </c>
      <c r="K11" s="11" t="s">
        <v>247</v>
      </c>
      <c r="L11" s="32" t="str">
        <f aca="true">IF(OR(J11="",K11="Confirmed",K11="Invalid - raised as Risk/Issue"),"",IF(TODAY()&gt;J11,"Overdue","No"))</f>
        <v>No</v>
      </c>
      <c r="M11" s="10"/>
      <c r="N11" s="11" t="s">
        <v>289</v>
      </c>
      <c r="O11" s="18" t="n">
        <v>46275</v>
      </c>
    </row>
    <row r="12" customFormat="false" ht="19.5" hidden="false" customHeight="true" outlineLevel="0" collapsed="false">
      <c r="A12" s="11"/>
      <c r="B12" s="10"/>
      <c r="C12" s="10"/>
      <c r="D12" s="10"/>
      <c r="E12" s="10"/>
      <c r="F12" s="10"/>
      <c r="G12" s="18"/>
      <c r="H12" s="10"/>
      <c r="I12" s="10"/>
      <c r="J12" s="18"/>
      <c r="K12" s="11"/>
      <c r="L12" s="32" t="str">
        <f aca="true">IF(OR(J12="",K12="Confirmed",K12="Invalid - raised as Risk/Issue"),"",IF(TODAY()&gt;J12,"Overdue","No"))</f>
        <v/>
      </c>
      <c r="M12" s="10"/>
      <c r="N12" s="11"/>
      <c r="O12" s="18"/>
    </row>
    <row r="13" customFormat="false" ht="19.5" hidden="false" customHeight="true" outlineLevel="0" collapsed="false">
      <c r="A13" s="11"/>
      <c r="B13" s="10"/>
      <c r="C13" s="10"/>
      <c r="D13" s="10"/>
      <c r="E13" s="10"/>
      <c r="F13" s="10"/>
      <c r="G13" s="18"/>
      <c r="H13" s="10"/>
      <c r="I13" s="10"/>
      <c r="J13" s="18"/>
      <c r="K13" s="11"/>
      <c r="L13" s="32" t="str">
        <f aca="true">IF(OR(J13="",K13="Confirmed",K13="Invalid - raised as Risk/Issue"),"",IF(TODAY()&gt;J13,"Overdue","No"))</f>
        <v/>
      </c>
      <c r="M13" s="10"/>
      <c r="N13" s="11"/>
      <c r="O13" s="18"/>
    </row>
    <row r="14" customFormat="false" ht="19.5" hidden="false" customHeight="true" outlineLevel="0" collapsed="false">
      <c r="A14" s="11"/>
      <c r="B14" s="10"/>
      <c r="C14" s="10"/>
      <c r="D14" s="10"/>
      <c r="E14" s="10"/>
      <c r="F14" s="10"/>
      <c r="G14" s="18"/>
      <c r="H14" s="10"/>
      <c r="I14" s="10"/>
      <c r="J14" s="18"/>
      <c r="K14" s="11"/>
      <c r="L14" s="32" t="str">
        <f aca="true">IF(OR(J14="",K14="Confirmed",K14="Invalid - raised as Risk/Issue"),"",IF(TODAY()&gt;J14,"Overdue","No"))</f>
        <v/>
      </c>
      <c r="M14" s="10"/>
      <c r="N14" s="11"/>
      <c r="O14" s="18"/>
    </row>
    <row r="15" customFormat="false" ht="19.5" hidden="false" customHeight="true" outlineLevel="0" collapsed="false">
      <c r="A15" s="11"/>
      <c r="B15" s="10"/>
      <c r="C15" s="10"/>
      <c r="D15" s="10"/>
      <c r="E15" s="10"/>
      <c r="F15" s="10"/>
      <c r="G15" s="18"/>
      <c r="H15" s="10"/>
      <c r="I15" s="10"/>
      <c r="J15" s="18"/>
      <c r="K15" s="11"/>
      <c r="L15" s="32" t="str">
        <f aca="true">IF(OR(J15="",K15="Confirmed",K15="Invalid - raised as Risk/Issue"),"",IF(TODAY()&gt;J15,"Overdue","No"))</f>
        <v/>
      </c>
      <c r="M15" s="10"/>
      <c r="N15" s="11"/>
      <c r="O15" s="18"/>
    </row>
    <row r="16" customFormat="false" ht="19.5" hidden="false" customHeight="true" outlineLevel="0" collapsed="false">
      <c r="A16" s="11"/>
      <c r="B16" s="10"/>
      <c r="C16" s="10"/>
      <c r="D16" s="10"/>
      <c r="E16" s="10"/>
      <c r="F16" s="10"/>
      <c r="G16" s="18"/>
      <c r="H16" s="10"/>
      <c r="I16" s="10"/>
      <c r="J16" s="18"/>
      <c r="K16" s="11"/>
      <c r="L16" s="32" t="str">
        <f aca="true">IF(OR(J16="",K16="Confirmed",K16="Invalid - raised as Risk/Issue"),"",IF(TODAY()&gt;J16,"Overdue","No"))</f>
        <v/>
      </c>
      <c r="M16" s="10"/>
      <c r="N16" s="11"/>
      <c r="O16" s="18"/>
    </row>
    <row r="17" customFormat="false" ht="19.5" hidden="false" customHeight="true" outlineLevel="0" collapsed="false">
      <c r="A17" s="11"/>
      <c r="B17" s="10"/>
      <c r="C17" s="10"/>
      <c r="D17" s="10"/>
      <c r="E17" s="10"/>
      <c r="F17" s="10"/>
      <c r="G17" s="18"/>
      <c r="H17" s="10"/>
      <c r="I17" s="10"/>
      <c r="J17" s="18"/>
      <c r="K17" s="11"/>
      <c r="L17" s="32" t="str">
        <f aca="true">IF(OR(J17="",K17="Confirmed",K17="Invalid - raised as Risk/Issue"),"",IF(TODAY()&gt;J17,"Overdue","No"))</f>
        <v/>
      </c>
      <c r="M17" s="10"/>
      <c r="N17" s="11"/>
      <c r="O17" s="18"/>
    </row>
    <row r="18" customFormat="false" ht="19.5" hidden="false" customHeight="true" outlineLevel="0" collapsed="false">
      <c r="A18" s="11"/>
      <c r="B18" s="10"/>
      <c r="C18" s="10"/>
      <c r="D18" s="10"/>
      <c r="E18" s="10"/>
      <c r="F18" s="10"/>
      <c r="G18" s="18"/>
      <c r="H18" s="10"/>
      <c r="I18" s="10"/>
      <c r="J18" s="18"/>
      <c r="K18" s="11"/>
      <c r="L18" s="32" t="str">
        <f aca="true">IF(OR(J18="",K18="Confirmed",K18="Invalid - raised as Risk/Issue"),"",IF(TODAY()&gt;J18,"Overdue","No"))</f>
        <v/>
      </c>
      <c r="M18" s="10"/>
      <c r="N18" s="11"/>
      <c r="O18" s="18"/>
    </row>
    <row r="19" customFormat="false" ht="19.5" hidden="false" customHeight="true" outlineLevel="0" collapsed="false">
      <c r="A19" s="11"/>
      <c r="B19" s="10"/>
      <c r="C19" s="10"/>
      <c r="D19" s="10"/>
      <c r="E19" s="10"/>
      <c r="F19" s="10"/>
      <c r="G19" s="18"/>
      <c r="H19" s="10"/>
      <c r="I19" s="10"/>
      <c r="J19" s="18"/>
      <c r="K19" s="11"/>
      <c r="L19" s="32" t="str">
        <f aca="true">IF(OR(J19="",K19="Confirmed",K19="Invalid - raised as Risk/Issue"),"",IF(TODAY()&gt;J19,"Overdue","No"))</f>
        <v/>
      </c>
      <c r="M19" s="10"/>
      <c r="N19" s="11"/>
      <c r="O19" s="18"/>
    </row>
    <row r="20" customFormat="false" ht="19.5" hidden="false" customHeight="true" outlineLevel="0" collapsed="false">
      <c r="A20" s="11"/>
      <c r="B20" s="10"/>
      <c r="C20" s="10"/>
      <c r="D20" s="10"/>
      <c r="E20" s="10"/>
      <c r="F20" s="10"/>
      <c r="G20" s="18"/>
      <c r="H20" s="10"/>
      <c r="I20" s="10"/>
      <c r="J20" s="18"/>
      <c r="K20" s="11"/>
      <c r="L20" s="32" t="str">
        <f aca="true">IF(OR(J20="",K20="Confirmed",K20="Invalid - raised as Risk/Issue"),"",IF(TODAY()&gt;J20,"Overdue","No"))</f>
        <v/>
      </c>
      <c r="M20" s="10"/>
      <c r="N20" s="11"/>
      <c r="O20" s="18"/>
    </row>
    <row r="21" customFormat="false" ht="19.5" hidden="false" customHeight="true" outlineLevel="0" collapsed="false">
      <c r="A21" s="11"/>
      <c r="B21" s="10"/>
      <c r="C21" s="10"/>
      <c r="D21" s="10"/>
      <c r="E21" s="10"/>
      <c r="F21" s="10"/>
      <c r="G21" s="18"/>
      <c r="H21" s="10"/>
      <c r="I21" s="10"/>
      <c r="J21" s="18"/>
      <c r="K21" s="11"/>
      <c r="L21" s="32" t="str">
        <f aca="true">IF(OR(J21="",K21="Confirmed",K21="Invalid - raised as Risk/Issue"),"",IF(TODAY()&gt;J21,"Overdue","No"))</f>
        <v/>
      </c>
      <c r="M21" s="10"/>
      <c r="N21" s="11"/>
      <c r="O21" s="18"/>
    </row>
    <row r="22" customFormat="false" ht="19.5" hidden="false" customHeight="true" outlineLevel="0" collapsed="false">
      <c r="A22" s="11"/>
      <c r="B22" s="10"/>
      <c r="C22" s="10"/>
      <c r="D22" s="10"/>
      <c r="E22" s="10"/>
      <c r="F22" s="10"/>
      <c r="G22" s="18"/>
      <c r="H22" s="10"/>
      <c r="I22" s="10"/>
      <c r="J22" s="18"/>
      <c r="K22" s="11"/>
      <c r="L22" s="32" t="str">
        <f aca="true">IF(OR(J22="",K22="Confirmed",K22="Invalid - raised as Risk/Issue"),"",IF(TODAY()&gt;J22,"Overdue","No"))</f>
        <v/>
      </c>
      <c r="M22" s="10"/>
      <c r="N22" s="11"/>
      <c r="O22" s="18"/>
    </row>
    <row r="23" customFormat="false" ht="19.5" hidden="false" customHeight="true" outlineLevel="0" collapsed="false">
      <c r="A23" s="11"/>
      <c r="B23" s="10"/>
      <c r="C23" s="10"/>
      <c r="D23" s="10"/>
      <c r="E23" s="10"/>
      <c r="F23" s="10"/>
      <c r="G23" s="18"/>
      <c r="H23" s="10"/>
      <c r="I23" s="10"/>
      <c r="J23" s="18"/>
      <c r="K23" s="11"/>
      <c r="L23" s="32" t="str">
        <f aca="true">IF(OR(J23="",K23="Confirmed",K23="Invalid - raised as Risk/Issue"),"",IF(TODAY()&gt;J23,"Overdue","No"))</f>
        <v/>
      </c>
      <c r="M23" s="10"/>
      <c r="N23" s="11"/>
      <c r="O23" s="18"/>
    </row>
    <row r="24" customFormat="false" ht="19.5" hidden="false" customHeight="true" outlineLevel="0" collapsed="false">
      <c r="A24" s="11"/>
      <c r="B24" s="10"/>
      <c r="C24" s="10"/>
      <c r="D24" s="10"/>
      <c r="E24" s="10"/>
      <c r="F24" s="10"/>
      <c r="G24" s="18"/>
      <c r="H24" s="10"/>
      <c r="I24" s="10"/>
      <c r="J24" s="18"/>
      <c r="K24" s="11"/>
      <c r="L24" s="32" t="str">
        <f aca="true">IF(OR(J24="",K24="Confirmed",K24="Invalid - raised as Risk/Issue"),"",IF(TODAY()&gt;J24,"Overdue","No"))</f>
        <v/>
      </c>
      <c r="M24" s="10"/>
      <c r="N24" s="11"/>
      <c r="O24" s="18"/>
    </row>
    <row r="25" customFormat="false" ht="19.5" hidden="false" customHeight="true" outlineLevel="0" collapsed="false">
      <c r="A25" s="11"/>
      <c r="B25" s="10"/>
      <c r="C25" s="10"/>
      <c r="D25" s="10"/>
      <c r="E25" s="10"/>
      <c r="F25" s="10"/>
      <c r="G25" s="18"/>
      <c r="H25" s="10"/>
      <c r="I25" s="10"/>
      <c r="J25" s="18"/>
      <c r="K25" s="11"/>
      <c r="L25" s="32" t="str">
        <f aca="true">IF(OR(J25="",K25="Confirmed",K25="Invalid - raised as Risk/Issue"),"",IF(TODAY()&gt;J25,"Overdue","No"))</f>
        <v/>
      </c>
      <c r="M25" s="10"/>
      <c r="N25" s="11"/>
      <c r="O25" s="18"/>
    </row>
    <row r="26" customFormat="false" ht="19.5" hidden="false" customHeight="true" outlineLevel="0" collapsed="false">
      <c r="A26" s="11"/>
      <c r="B26" s="10"/>
      <c r="C26" s="10"/>
      <c r="D26" s="10"/>
      <c r="E26" s="10"/>
      <c r="F26" s="10"/>
      <c r="G26" s="18"/>
      <c r="H26" s="10"/>
      <c r="I26" s="10"/>
      <c r="J26" s="18"/>
      <c r="K26" s="11"/>
      <c r="L26" s="32" t="str">
        <f aca="true">IF(OR(J26="",K26="Confirmed",K26="Invalid - raised as Risk/Issue"),"",IF(TODAY()&gt;J26,"Overdue","No"))</f>
        <v/>
      </c>
      <c r="M26" s="10"/>
      <c r="N26" s="11"/>
      <c r="O26" s="18"/>
    </row>
    <row r="27" customFormat="false" ht="19.5" hidden="false" customHeight="true" outlineLevel="0" collapsed="false">
      <c r="A27" s="11"/>
      <c r="B27" s="10"/>
      <c r="C27" s="10"/>
      <c r="D27" s="10"/>
      <c r="E27" s="10"/>
      <c r="F27" s="10"/>
      <c r="G27" s="18"/>
      <c r="H27" s="10"/>
      <c r="I27" s="10"/>
      <c r="J27" s="18"/>
      <c r="K27" s="11"/>
      <c r="L27" s="32" t="str">
        <f aca="true">IF(OR(J27="",K27="Confirmed",K27="Invalid - raised as Risk/Issue"),"",IF(TODAY()&gt;J27,"Overdue","No"))</f>
        <v/>
      </c>
      <c r="M27" s="10"/>
      <c r="N27" s="11"/>
      <c r="O27" s="18"/>
    </row>
    <row r="28" customFormat="false" ht="19.5" hidden="false" customHeight="true" outlineLevel="0" collapsed="false">
      <c r="A28" s="11"/>
      <c r="B28" s="10"/>
      <c r="C28" s="10"/>
      <c r="D28" s="10"/>
      <c r="E28" s="10"/>
      <c r="F28" s="10"/>
      <c r="G28" s="18"/>
      <c r="H28" s="10"/>
      <c r="I28" s="10"/>
      <c r="J28" s="18"/>
      <c r="K28" s="11"/>
      <c r="L28" s="32" t="str">
        <f aca="true">IF(OR(J28="",K28="Confirmed",K28="Invalid - raised as Risk/Issue"),"",IF(TODAY()&gt;J28,"Overdue","No"))</f>
        <v/>
      </c>
      <c r="M28" s="10"/>
      <c r="N28" s="11"/>
      <c r="O28" s="18"/>
    </row>
    <row r="29" customFormat="false" ht="19.5" hidden="false" customHeight="true" outlineLevel="0" collapsed="false">
      <c r="A29" s="11"/>
      <c r="B29" s="10"/>
      <c r="C29" s="10"/>
      <c r="D29" s="10"/>
      <c r="E29" s="10"/>
      <c r="F29" s="10"/>
      <c r="G29" s="18"/>
      <c r="H29" s="10"/>
      <c r="I29" s="10"/>
      <c r="J29" s="18"/>
      <c r="K29" s="11"/>
      <c r="L29" s="32" t="str">
        <f aca="true">IF(OR(J29="",K29="Confirmed",K29="Invalid - raised as Risk/Issue"),"",IF(TODAY()&gt;J29,"Overdue","No"))</f>
        <v/>
      </c>
      <c r="M29" s="10"/>
      <c r="N29" s="11"/>
      <c r="O29" s="18"/>
    </row>
    <row r="30" customFormat="false" ht="19.5" hidden="false" customHeight="true" outlineLevel="0" collapsed="false">
      <c r="A30" s="11"/>
      <c r="B30" s="10"/>
      <c r="C30" s="10"/>
      <c r="D30" s="10"/>
      <c r="E30" s="10"/>
      <c r="F30" s="10"/>
      <c r="G30" s="18"/>
      <c r="H30" s="10"/>
      <c r="I30" s="10"/>
      <c r="J30" s="18"/>
      <c r="K30" s="11"/>
      <c r="L30" s="32" t="str">
        <f aca="true">IF(OR(J30="",K30="Confirmed",K30="Invalid - raised as Risk/Issue"),"",IF(TODAY()&gt;J30,"Overdue","No"))</f>
        <v/>
      </c>
      <c r="M30" s="10"/>
      <c r="N30" s="11"/>
      <c r="O30" s="18"/>
    </row>
    <row r="31" customFormat="false" ht="19.5" hidden="false" customHeight="true" outlineLevel="0" collapsed="false">
      <c r="A31" s="11"/>
      <c r="B31" s="10"/>
      <c r="C31" s="10"/>
      <c r="D31" s="10"/>
      <c r="E31" s="10"/>
      <c r="F31" s="10"/>
      <c r="G31" s="18"/>
      <c r="H31" s="10"/>
      <c r="I31" s="10"/>
      <c r="J31" s="18"/>
      <c r="K31" s="11"/>
      <c r="L31" s="32" t="str">
        <f aca="true">IF(OR(J31="",K31="Confirmed",K31="Invalid - raised as Risk/Issue"),"",IF(TODAY()&gt;J31,"Overdue","No"))</f>
        <v/>
      </c>
      <c r="M31" s="10"/>
      <c r="N31" s="11"/>
      <c r="O31" s="18"/>
    </row>
    <row r="32" customFormat="false" ht="19.5" hidden="false" customHeight="true" outlineLevel="0" collapsed="false">
      <c r="A32" s="11"/>
      <c r="B32" s="10"/>
      <c r="C32" s="10"/>
      <c r="D32" s="10"/>
      <c r="E32" s="10"/>
      <c r="F32" s="10"/>
      <c r="G32" s="18"/>
      <c r="H32" s="10"/>
      <c r="I32" s="10"/>
      <c r="J32" s="18"/>
      <c r="K32" s="11"/>
      <c r="L32" s="32" t="str">
        <f aca="true">IF(OR(J32="",K32="Confirmed",K32="Invalid - raised as Risk/Issue"),"",IF(TODAY()&gt;J32,"Overdue","No"))</f>
        <v/>
      </c>
      <c r="M32" s="10"/>
      <c r="N32" s="11"/>
      <c r="O32" s="18"/>
    </row>
    <row r="33" customFormat="false" ht="19.5" hidden="false" customHeight="true" outlineLevel="0" collapsed="false">
      <c r="A33" s="11"/>
      <c r="B33" s="10"/>
      <c r="C33" s="10"/>
      <c r="D33" s="10"/>
      <c r="E33" s="10"/>
      <c r="F33" s="10"/>
      <c r="G33" s="18"/>
      <c r="H33" s="10"/>
      <c r="I33" s="10"/>
      <c r="J33" s="18"/>
      <c r="K33" s="11"/>
      <c r="L33" s="32" t="str">
        <f aca="true">IF(OR(J33="",K33="Confirmed",K33="Invalid - raised as Risk/Issue"),"",IF(TODAY()&gt;J33,"Overdue","No"))</f>
        <v/>
      </c>
      <c r="M33" s="10"/>
      <c r="N33" s="11"/>
      <c r="O33" s="18"/>
    </row>
    <row r="34" customFormat="false" ht="19.5" hidden="false" customHeight="true" outlineLevel="0" collapsed="false">
      <c r="A34" s="11"/>
      <c r="B34" s="10"/>
      <c r="C34" s="10"/>
      <c r="D34" s="10"/>
      <c r="E34" s="10"/>
      <c r="F34" s="10"/>
      <c r="G34" s="18"/>
      <c r="H34" s="10"/>
      <c r="I34" s="10"/>
      <c r="J34" s="18"/>
      <c r="K34" s="11"/>
      <c r="L34" s="32" t="str">
        <f aca="true">IF(OR(J34="",K34="Confirmed",K34="Invalid - raised as Risk/Issue"),"",IF(TODAY()&gt;J34,"Overdue","No"))</f>
        <v/>
      </c>
      <c r="M34" s="10"/>
      <c r="N34" s="11"/>
      <c r="O34" s="18"/>
    </row>
    <row r="35" customFormat="false" ht="19.5" hidden="false" customHeight="true" outlineLevel="0" collapsed="false">
      <c r="A35" s="11"/>
      <c r="B35" s="10"/>
      <c r="C35" s="10"/>
      <c r="D35" s="10"/>
      <c r="E35" s="10"/>
      <c r="F35" s="10"/>
      <c r="G35" s="18"/>
      <c r="H35" s="10"/>
      <c r="I35" s="10"/>
      <c r="J35" s="18"/>
      <c r="K35" s="11"/>
      <c r="L35" s="32" t="str">
        <f aca="true">IF(OR(J35="",K35="Confirmed",K35="Invalid - raised as Risk/Issue"),"",IF(TODAY()&gt;J35,"Overdue","No"))</f>
        <v/>
      </c>
      <c r="M35" s="10"/>
      <c r="N35" s="11"/>
      <c r="O35" s="18"/>
    </row>
    <row r="36" customFormat="false" ht="19.5" hidden="false" customHeight="true" outlineLevel="0" collapsed="false">
      <c r="A36" s="11"/>
      <c r="B36" s="10"/>
      <c r="C36" s="10"/>
      <c r="D36" s="10"/>
      <c r="E36" s="10"/>
      <c r="F36" s="10"/>
      <c r="G36" s="18"/>
      <c r="H36" s="10"/>
      <c r="I36" s="10"/>
      <c r="J36" s="18"/>
      <c r="K36" s="11"/>
      <c r="L36" s="32" t="str">
        <f aca="true">IF(OR(J36="",K36="Confirmed",K36="Invalid - raised as Risk/Issue"),"",IF(TODAY()&gt;J36,"Overdue","No"))</f>
        <v/>
      </c>
      <c r="M36" s="10"/>
      <c r="N36" s="11"/>
      <c r="O36" s="18"/>
    </row>
    <row r="37" customFormat="false" ht="19.5" hidden="false" customHeight="true" outlineLevel="0" collapsed="false">
      <c r="A37" s="11"/>
      <c r="B37" s="10"/>
      <c r="C37" s="10"/>
      <c r="D37" s="10"/>
      <c r="E37" s="10"/>
      <c r="F37" s="10"/>
      <c r="G37" s="18"/>
      <c r="H37" s="10"/>
      <c r="I37" s="10"/>
      <c r="J37" s="18"/>
      <c r="K37" s="11"/>
      <c r="L37" s="32" t="str">
        <f aca="true">IF(OR(J37="",K37="Confirmed",K37="Invalid - raised as Risk/Issue"),"",IF(TODAY()&gt;J37,"Overdue","No"))</f>
        <v/>
      </c>
      <c r="M37" s="10"/>
      <c r="N37" s="11"/>
      <c r="O37" s="18"/>
    </row>
    <row r="38" customFormat="false" ht="19.5" hidden="false" customHeight="true" outlineLevel="0" collapsed="false">
      <c r="A38" s="11"/>
      <c r="B38" s="10"/>
      <c r="C38" s="10"/>
      <c r="D38" s="10"/>
      <c r="E38" s="10"/>
      <c r="F38" s="10"/>
      <c r="G38" s="18"/>
      <c r="H38" s="10"/>
      <c r="I38" s="10"/>
      <c r="J38" s="18"/>
      <c r="K38" s="11"/>
      <c r="L38" s="32" t="str">
        <f aca="true">IF(OR(J38="",K38="Confirmed",K38="Invalid - raised as Risk/Issue"),"",IF(TODAY()&gt;J38,"Overdue","No"))</f>
        <v/>
      </c>
      <c r="M38" s="10"/>
      <c r="N38" s="11"/>
      <c r="O38" s="18"/>
    </row>
    <row r="39" customFormat="false" ht="19.5" hidden="false" customHeight="true" outlineLevel="0" collapsed="false">
      <c r="A39" s="11"/>
      <c r="B39" s="10"/>
      <c r="C39" s="10"/>
      <c r="D39" s="10"/>
      <c r="E39" s="10"/>
      <c r="F39" s="10"/>
      <c r="G39" s="18"/>
      <c r="H39" s="10"/>
      <c r="I39" s="10"/>
      <c r="J39" s="18"/>
      <c r="K39" s="11"/>
      <c r="L39" s="32" t="str">
        <f aca="true">IF(OR(J39="",K39="Confirmed",K39="Invalid - raised as Risk/Issue"),"",IF(TODAY()&gt;J39,"Overdue","No"))</f>
        <v/>
      </c>
      <c r="M39" s="10"/>
      <c r="N39" s="11"/>
      <c r="O39" s="18"/>
    </row>
    <row r="40" customFormat="false" ht="19.5" hidden="false" customHeight="true" outlineLevel="0" collapsed="false">
      <c r="A40" s="11"/>
      <c r="B40" s="10"/>
      <c r="C40" s="10"/>
      <c r="D40" s="10"/>
      <c r="E40" s="10"/>
      <c r="F40" s="10"/>
      <c r="G40" s="18"/>
      <c r="H40" s="10"/>
      <c r="I40" s="10"/>
      <c r="J40" s="18"/>
      <c r="K40" s="11"/>
      <c r="L40" s="32" t="str">
        <f aca="true">IF(OR(J40="",K40="Confirmed",K40="Invalid - raised as Risk/Issue"),"",IF(TODAY()&gt;J40,"Overdue","No"))</f>
        <v/>
      </c>
      <c r="M40" s="10"/>
      <c r="N40" s="11"/>
      <c r="O40" s="18"/>
    </row>
    <row r="41" customFormat="false" ht="19.5" hidden="false" customHeight="true" outlineLevel="0" collapsed="false">
      <c r="A41" s="11"/>
      <c r="B41" s="10"/>
      <c r="C41" s="10"/>
      <c r="D41" s="10"/>
      <c r="E41" s="10"/>
      <c r="F41" s="10"/>
      <c r="G41" s="18"/>
      <c r="H41" s="10"/>
      <c r="I41" s="10"/>
      <c r="J41" s="18"/>
      <c r="K41" s="11"/>
      <c r="L41" s="32" t="str">
        <f aca="true">IF(OR(J41="",K41="Confirmed",K41="Invalid - raised as Risk/Issue"),"",IF(TODAY()&gt;J41,"Overdue","No"))</f>
        <v/>
      </c>
      <c r="M41" s="10"/>
      <c r="N41" s="11"/>
      <c r="O41" s="18"/>
    </row>
    <row r="42" customFormat="false" ht="19.5" hidden="false" customHeight="true" outlineLevel="0" collapsed="false">
      <c r="A42" s="11"/>
      <c r="B42" s="10"/>
      <c r="C42" s="10"/>
      <c r="D42" s="10"/>
      <c r="E42" s="10"/>
      <c r="F42" s="10"/>
      <c r="G42" s="18"/>
      <c r="H42" s="10"/>
      <c r="I42" s="10"/>
      <c r="J42" s="18"/>
      <c r="K42" s="11"/>
      <c r="L42" s="32" t="str">
        <f aca="true">IF(OR(J42="",K42="Confirmed",K42="Invalid - raised as Risk/Issue"),"",IF(TODAY()&gt;J42,"Overdue","No"))</f>
        <v/>
      </c>
      <c r="M42" s="10"/>
      <c r="N42" s="11"/>
      <c r="O42" s="18"/>
    </row>
    <row r="43" customFormat="false" ht="19.5" hidden="false" customHeight="true" outlineLevel="0" collapsed="false">
      <c r="A43" s="11"/>
      <c r="B43" s="10"/>
      <c r="C43" s="10"/>
      <c r="D43" s="10"/>
      <c r="E43" s="10"/>
      <c r="F43" s="10"/>
      <c r="G43" s="18"/>
      <c r="H43" s="10"/>
      <c r="I43" s="10"/>
      <c r="J43" s="18"/>
      <c r="K43" s="11"/>
      <c r="L43" s="32" t="str">
        <f aca="true">IF(OR(J43="",K43="Confirmed",K43="Invalid - raised as Risk/Issue"),"",IF(TODAY()&gt;J43,"Overdue","No"))</f>
        <v/>
      </c>
      <c r="M43" s="10"/>
      <c r="N43" s="11"/>
      <c r="O43" s="18"/>
    </row>
    <row r="44" customFormat="false" ht="19.5" hidden="false" customHeight="true" outlineLevel="0" collapsed="false">
      <c r="A44" s="11"/>
      <c r="B44" s="10"/>
      <c r="C44" s="10"/>
      <c r="D44" s="10"/>
      <c r="E44" s="10"/>
      <c r="F44" s="10"/>
      <c r="G44" s="18"/>
      <c r="H44" s="10"/>
      <c r="I44" s="10"/>
      <c r="J44" s="18"/>
      <c r="K44" s="11"/>
      <c r="L44" s="32" t="str">
        <f aca="true">IF(OR(J44="",K44="Confirmed",K44="Invalid - raised as Risk/Issue"),"",IF(TODAY()&gt;J44,"Overdue","No"))</f>
        <v/>
      </c>
      <c r="M44" s="10"/>
      <c r="N44" s="11"/>
      <c r="O44" s="18"/>
    </row>
    <row r="45" customFormat="false" ht="19.5" hidden="false" customHeight="true" outlineLevel="0" collapsed="false">
      <c r="A45" s="11"/>
      <c r="B45" s="10"/>
      <c r="C45" s="10"/>
      <c r="D45" s="10"/>
      <c r="E45" s="10"/>
      <c r="F45" s="10"/>
      <c r="G45" s="18"/>
      <c r="H45" s="10"/>
      <c r="I45" s="10"/>
      <c r="J45" s="18"/>
      <c r="K45" s="11"/>
      <c r="L45" s="32" t="str">
        <f aca="true">IF(OR(J45="",K45="Confirmed",K45="Invalid - raised as Risk/Issue"),"",IF(TODAY()&gt;J45,"Overdue","No"))</f>
        <v/>
      </c>
      <c r="M45" s="10"/>
      <c r="N45" s="11"/>
      <c r="O45" s="18"/>
    </row>
    <row r="46" customFormat="false" ht="19.5" hidden="false" customHeight="true" outlineLevel="0" collapsed="false">
      <c r="A46" s="11"/>
      <c r="B46" s="10"/>
      <c r="C46" s="10"/>
      <c r="D46" s="10"/>
      <c r="E46" s="10"/>
      <c r="F46" s="10"/>
      <c r="G46" s="18"/>
      <c r="H46" s="10"/>
      <c r="I46" s="10"/>
      <c r="J46" s="18"/>
      <c r="K46" s="11"/>
      <c r="L46" s="32" t="str">
        <f aca="true">IF(OR(J46="",K46="Confirmed",K46="Invalid - raised as Risk/Issue"),"",IF(TODAY()&gt;J46,"Overdue","No"))</f>
        <v/>
      </c>
      <c r="M46" s="10"/>
      <c r="N46" s="11"/>
      <c r="O46" s="18"/>
    </row>
    <row r="47" customFormat="false" ht="19.5" hidden="false" customHeight="true" outlineLevel="0" collapsed="false">
      <c r="A47" s="11"/>
      <c r="B47" s="10"/>
      <c r="C47" s="10"/>
      <c r="D47" s="10"/>
      <c r="E47" s="10"/>
      <c r="F47" s="10"/>
      <c r="G47" s="18"/>
      <c r="H47" s="10"/>
      <c r="I47" s="10"/>
      <c r="J47" s="18"/>
      <c r="K47" s="11"/>
      <c r="L47" s="32" t="str">
        <f aca="true">IF(OR(J47="",K47="Confirmed",K47="Invalid - raised as Risk/Issue"),"",IF(TODAY()&gt;J47,"Overdue","No"))</f>
        <v/>
      </c>
      <c r="M47" s="10"/>
      <c r="N47" s="11"/>
      <c r="O47" s="18"/>
    </row>
    <row r="48" customFormat="false" ht="19.5" hidden="false" customHeight="true" outlineLevel="0" collapsed="false">
      <c r="A48" s="11"/>
      <c r="B48" s="10"/>
      <c r="C48" s="10"/>
      <c r="D48" s="10"/>
      <c r="E48" s="10"/>
      <c r="F48" s="10"/>
      <c r="G48" s="18"/>
      <c r="H48" s="10"/>
      <c r="I48" s="10"/>
      <c r="J48" s="18"/>
      <c r="K48" s="11"/>
      <c r="L48" s="32" t="str">
        <f aca="true">IF(OR(J48="",K48="Confirmed",K48="Invalid - raised as Risk/Issue"),"",IF(TODAY()&gt;J48,"Overdue","No"))</f>
        <v/>
      </c>
      <c r="M48" s="10"/>
      <c r="N48" s="11"/>
      <c r="O48" s="18"/>
    </row>
    <row r="49" customFormat="false" ht="19.5" hidden="false" customHeight="true" outlineLevel="0" collapsed="false">
      <c r="A49" s="11"/>
      <c r="B49" s="10"/>
      <c r="C49" s="10"/>
      <c r="D49" s="10"/>
      <c r="E49" s="10"/>
      <c r="F49" s="10"/>
      <c r="G49" s="18"/>
      <c r="H49" s="10"/>
      <c r="I49" s="10"/>
      <c r="J49" s="18"/>
      <c r="K49" s="11"/>
      <c r="L49" s="32" t="str">
        <f aca="true">IF(OR(J49="",K49="Confirmed",K49="Invalid - raised as Risk/Issue"),"",IF(TODAY()&gt;J49,"Overdue","No"))</f>
        <v/>
      </c>
      <c r="M49" s="10"/>
      <c r="N49" s="11"/>
      <c r="O49" s="18"/>
    </row>
    <row r="50" customFormat="false" ht="19.5" hidden="false" customHeight="true" outlineLevel="0" collapsed="false">
      <c r="A50" s="11"/>
      <c r="B50" s="10"/>
      <c r="C50" s="10"/>
      <c r="D50" s="10"/>
      <c r="E50" s="10"/>
      <c r="F50" s="10"/>
      <c r="G50" s="18"/>
      <c r="H50" s="10"/>
      <c r="I50" s="10"/>
      <c r="J50" s="18"/>
      <c r="K50" s="11"/>
      <c r="L50" s="32" t="str">
        <f aca="true">IF(OR(J50="",K50="Confirmed",K50="Invalid - raised as Risk/Issue"),"",IF(TODAY()&gt;J50,"Overdue","No"))</f>
        <v/>
      </c>
      <c r="M50" s="10"/>
      <c r="N50" s="11"/>
      <c r="O50" s="18"/>
    </row>
    <row r="51" customFormat="false" ht="19.5" hidden="false" customHeight="true" outlineLevel="0" collapsed="false">
      <c r="A51" s="11"/>
      <c r="B51" s="10"/>
      <c r="C51" s="10"/>
      <c r="D51" s="10"/>
      <c r="E51" s="10"/>
      <c r="F51" s="10"/>
      <c r="G51" s="18"/>
      <c r="H51" s="10"/>
      <c r="I51" s="10"/>
      <c r="J51" s="18"/>
      <c r="K51" s="11"/>
      <c r="L51" s="32" t="str">
        <f aca="true">IF(OR(J51="",K51="Confirmed",K51="Invalid - raised as Risk/Issue"),"",IF(TODAY()&gt;J51,"Overdue","No"))</f>
        <v/>
      </c>
      <c r="M51" s="10"/>
      <c r="N51" s="11"/>
      <c r="O51" s="18"/>
    </row>
    <row r="52" customFormat="false" ht="19.5" hidden="false" customHeight="true" outlineLevel="0" collapsed="false">
      <c r="A52" s="11"/>
      <c r="B52" s="10"/>
      <c r="C52" s="10"/>
      <c r="D52" s="10"/>
      <c r="E52" s="10"/>
      <c r="F52" s="10"/>
      <c r="G52" s="18"/>
      <c r="H52" s="10"/>
      <c r="I52" s="10"/>
      <c r="J52" s="18"/>
      <c r="K52" s="11"/>
      <c r="L52" s="32" t="str">
        <f aca="true">IF(OR(J52="",K52="Confirmed",K52="Invalid - raised as Risk/Issue"),"",IF(TODAY()&gt;J52,"Overdue","No"))</f>
        <v/>
      </c>
      <c r="M52" s="10"/>
      <c r="N52" s="11"/>
      <c r="O52" s="18"/>
    </row>
    <row r="53" customFormat="false" ht="19.5" hidden="false" customHeight="true" outlineLevel="0" collapsed="false">
      <c r="A53" s="11"/>
      <c r="B53" s="10"/>
      <c r="C53" s="10"/>
      <c r="D53" s="10"/>
      <c r="E53" s="10"/>
      <c r="F53" s="10"/>
      <c r="G53" s="18"/>
      <c r="H53" s="10"/>
      <c r="I53" s="10"/>
      <c r="J53" s="18"/>
      <c r="K53" s="11"/>
      <c r="L53" s="32" t="str">
        <f aca="true">IF(OR(J53="",K53="Confirmed",K53="Invalid - raised as Risk/Issue"),"",IF(TODAY()&gt;J53,"Overdue","No"))</f>
        <v/>
      </c>
      <c r="M53" s="10"/>
      <c r="N53" s="11"/>
      <c r="O53" s="18"/>
    </row>
    <row r="54" customFormat="false" ht="19.5" hidden="false" customHeight="true" outlineLevel="0" collapsed="false">
      <c r="A54" s="11"/>
      <c r="B54" s="10"/>
      <c r="C54" s="10"/>
      <c r="D54" s="10"/>
      <c r="E54" s="10"/>
      <c r="F54" s="10"/>
      <c r="G54" s="18"/>
      <c r="H54" s="10"/>
      <c r="I54" s="10"/>
      <c r="J54" s="18"/>
      <c r="K54" s="11"/>
      <c r="L54" s="32" t="str">
        <f aca="true">IF(OR(J54="",K54="Confirmed",K54="Invalid - raised as Risk/Issue"),"",IF(TODAY()&gt;J54,"Overdue","No"))</f>
        <v/>
      </c>
      <c r="M54" s="10"/>
      <c r="N54" s="11"/>
      <c r="O54" s="18"/>
    </row>
  </sheetData>
  <autoFilter ref="A4:O54"/>
  <conditionalFormatting sqref="K5:K54">
    <cfRule type="cellIs" priority="2" operator="equal" aboveAverage="0" equalAverage="0" bottom="0" percent="0" rank="0" text="" dxfId="0">
      <formula>"Invalid - raised as Risk/Issue"</formula>
    </cfRule>
    <cfRule type="cellIs" priority="3" operator="equal" aboveAverage="0" equalAverage="0" bottom="0" percent="0" rank="0" text="" dxfId="1">
      <formula>"Unvalidated"</formula>
    </cfRule>
    <cfRule type="cellIs" priority="4" operator="equal" aboveAverage="0" equalAverage="0" bottom="0" percent="0" rank="0" text="" dxfId="2">
      <formula>"Confirmed"</formula>
    </cfRule>
  </conditionalFormatting>
  <conditionalFormatting sqref="L5:L54">
    <cfRule type="cellIs" priority="5" operator="equal" aboveAverage="0" equalAverage="0" bottom="0" percent="0" rank="0" text="" dxfId="0">
      <formula>"Overdue"</formula>
    </cfRule>
  </conditionalFormatting>
  <dataValidations count="2">
    <dataValidation allowBlank="true" error="Please pick a value from the list." errorStyle="stop" errorTitle="Invalid entry" operator="between" showDropDown="false" showErrorMessage="false" showInputMessage="false" sqref="K5:K54" type="list">
      <formula1>"Unvalidated,Validating,Confirmed,Invalid - raised as Risk/Issue"</formula1>
      <formula2>0</formula2>
    </dataValidation>
    <dataValidation allowBlank="true" error="Please pick a value from the list." errorStyle="stop" errorTitle="Invalid entry" operator="between" showDropDown="false" showErrorMessage="false" showInputMessage="false" sqref="B5:B54" type="list">
      <formula1>"Adoption,Technical,Scope,Resourcing,Data,Compliance,Commercial"</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4"/>
    <col collapsed="false" customWidth="true" hidden="false" outlineLevel="0" max="3" min="3" style="0" width="26"/>
    <col collapsed="false" customWidth="true" hidden="false" outlineLevel="0" max="4" min="4" style="0" width="40"/>
    <col collapsed="false" customWidth="true" hidden="false" outlineLevel="0" max="5" min="5" style="0" width="34"/>
    <col collapsed="false" customWidth="true" hidden="false" outlineLevel="0" max="6" min="6" style="0" width="15"/>
    <col collapsed="false" customWidth="true" hidden="false" outlineLevel="0" max="7" min="7" style="0" width="13"/>
    <col collapsed="false" customWidth="true" hidden="false" outlineLevel="0" max="8" min="8" style="0" width="16"/>
    <col collapsed="false" customWidth="true" hidden="false" outlineLevel="0" max="9" min="9" style="0" width="10"/>
    <col collapsed="false" customWidth="true" hidden="false" outlineLevel="0" max="10" min="10" style="0" width="40"/>
    <col collapsed="false" customWidth="true" hidden="false" outlineLevel="0" max="12" min="11" style="0" width="13"/>
    <col collapsed="false" customWidth="true" hidden="false" outlineLevel="0" max="13" min="13" style="0" width="15"/>
    <col collapsed="false" customWidth="true" hidden="false" outlineLevel="0" max="14" min="14" style="0" width="9"/>
    <col collapsed="false" customWidth="true" hidden="false" outlineLevel="0" max="15" min="15" style="0" width="12"/>
    <col collapsed="false" customWidth="true" hidden="false" outlineLevel="0" max="16" min="16" style="0" width="30"/>
    <col collapsed="false" customWidth="true" hidden="false" outlineLevel="0" max="17" min="17" style="0" width="13"/>
  </cols>
  <sheetData>
    <row r="1" customFormat="false" ht="25.5" hidden="false" customHeight="true" outlineLevel="0" collapsed="false">
      <c r="A1" s="27" t="s">
        <v>290</v>
      </c>
    </row>
    <row r="2" customFormat="false" ht="15" hidden="false" customHeight="false" outlineLevel="0" collapsed="false">
      <c r="A2" s="13" t="s">
        <v>127</v>
      </c>
    </row>
    <row r="3" customFormat="false" ht="15" hidden="false" customHeight="false" outlineLevel="0" collapsed="false">
      <c r="A3" s="28" t="s">
        <v>128</v>
      </c>
    </row>
    <row r="4" customFormat="false" ht="33.75" hidden="false" customHeight="true" outlineLevel="0" collapsed="false">
      <c r="A4" s="29" t="s">
        <v>91</v>
      </c>
      <c r="B4" s="29" t="s">
        <v>129</v>
      </c>
      <c r="C4" s="29" t="s">
        <v>291</v>
      </c>
      <c r="D4" s="29" t="s">
        <v>292</v>
      </c>
      <c r="E4" s="29" t="s">
        <v>293</v>
      </c>
      <c r="F4" s="29" t="s">
        <v>132</v>
      </c>
      <c r="G4" s="29" t="s">
        <v>133</v>
      </c>
      <c r="H4" s="29" t="s">
        <v>93</v>
      </c>
      <c r="I4" s="29" t="s">
        <v>294</v>
      </c>
      <c r="J4" s="29" t="s">
        <v>295</v>
      </c>
      <c r="K4" s="29" t="s">
        <v>296</v>
      </c>
      <c r="L4" s="29" t="s">
        <v>95</v>
      </c>
      <c r="M4" s="29" t="s">
        <v>297</v>
      </c>
      <c r="N4" s="30" t="s">
        <v>298</v>
      </c>
      <c r="O4" s="29" t="s">
        <v>141</v>
      </c>
      <c r="P4" s="29" t="s">
        <v>299</v>
      </c>
      <c r="Q4" s="29" t="s">
        <v>142</v>
      </c>
    </row>
    <row r="5" customFormat="false" ht="48" hidden="false" customHeight="true" outlineLevel="0" collapsed="false">
      <c r="A5" s="11" t="s">
        <v>300</v>
      </c>
      <c r="B5" s="10" t="s">
        <v>250</v>
      </c>
      <c r="C5" s="10" t="s">
        <v>301</v>
      </c>
      <c r="D5" s="10" t="s">
        <v>302</v>
      </c>
      <c r="E5" s="10" t="s">
        <v>303</v>
      </c>
      <c r="F5" s="10" t="s">
        <v>222</v>
      </c>
      <c r="G5" s="18" t="n">
        <v>46267</v>
      </c>
      <c r="H5" s="10" t="s">
        <v>159</v>
      </c>
      <c r="I5" s="11" t="s">
        <v>105</v>
      </c>
      <c r="J5" s="10" t="s">
        <v>304</v>
      </c>
      <c r="K5" s="18" t="n">
        <v>46281</v>
      </c>
      <c r="L5" s="11" t="s">
        <v>305</v>
      </c>
      <c r="M5" s="10"/>
      <c r="N5" s="31" t="n">
        <f aca="true">IF(OR(G5="",L5="Resolved",L5="Closed"),"",TODAY()-G5)</f>
        <v>8</v>
      </c>
      <c r="O5" s="11" t="s">
        <v>172</v>
      </c>
      <c r="P5" s="10"/>
      <c r="Q5" s="18" t="n">
        <v>46275</v>
      </c>
    </row>
    <row r="6" customFormat="false" ht="48" hidden="false" customHeight="true" outlineLevel="0" collapsed="false">
      <c r="A6" s="11" t="s">
        <v>153</v>
      </c>
      <c r="B6" s="10" t="s">
        <v>182</v>
      </c>
      <c r="C6" s="10" t="s">
        <v>306</v>
      </c>
      <c r="D6" s="10" t="s">
        <v>307</v>
      </c>
      <c r="E6" s="10" t="s">
        <v>308</v>
      </c>
      <c r="F6" s="10" t="s">
        <v>309</v>
      </c>
      <c r="G6" s="18" t="n">
        <v>46268</v>
      </c>
      <c r="H6" s="10" t="s">
        <v>309</v>
      </c>
      <c r="I6" s="11" t="s">
        <v>105</v>
      </c>
      <c r="J6" s="10" t="s">
        <v>310</v>
      </c>
      <c r="K6" s="18" t="n">
        <v>46282</v>
      </c>
      <c r="L6" s="11" t="s">
        <v>83</v>
      </c>
      <c r="M6" s="10"/>
      <c r="N6" s="31" t="n">
        <f aca="true">IF(OR(G6="",L6="Resolved",L6="Closed"),"",TODAY()-G6)</f>
        <v>7</v>
      </c>
      <c r="O6" s="11" t="s">
        <v>144</v>
      </c>
      <c r="P6" s="10"/>
      <c r="Q6" s="18" t="n">
        <v>46275</v>
      </c>
    </row>
    <row r="7" customFormat="false" ht="48" hidden="false" customHeight="true" outlineLevel="0" collapsed="false">
      <c r="A7" s="11" t="s">
        <v>311</v>
      </c>
      <c r="B7" s="10" t="s">
        <v>312</v>
      </c>
      <c r="C7" s="10" t="s">
        <v>313</v>
      </c>
      <c r="D7" s="10" t="s">
        <v>314</v>
      </c>
      <c r="E7" s="10" t="s">
        <v>315</v>
      </c>
      <c r="F7" s="10" t="s">
        <v>229</v>
      </c>
      <c r="G7" s="18" t="n">
        <v>46262</v>
      </c>
      <c r="H7" s="10" t="s">
        <v>148</v>
      </c>
      <c r="I7" s="11" t="s">
        <v>107</v>
      </c>
      <c r="J7" s="10" t="s">
        <v>316</v>
      </c>
      <c r="K7" s="18" t="n">
        <v>46280</v>
      </c>
      <c r="L7" s="11" t="s">
        <v>317</v>
      </c>
      <c r="M7" s="10" t="s">
        <v>270</v>
      </c>
      <c r="N7" s="31" t="n">
        <f aca="true">IF(OR(G7="",L7="Resolved",L7="Closed"),"",TODAY()-G7)</f>
        <v>13</v>
      </c>
      <c r="O7" s="11"/>
      <c r="P7" s="10"/>
      <c r="Q7" s="18" t="n">
        <v>46275</v>
      </c>
    </row>
    <row r="8" customFormat="false" ht="48" hidden="false" customHeight="true" outlineLevel="0" collapsed="false">
      <c r="A8" s="11" t="s">
        <v>318</v>
      </c>
      <c r="B8" s="10" t="s">
        <v>319</v>
      </c>
      <c r="C8" s="10" t="s">
        <v>320</v>
      </c>
      <c r="D8" s="10" t="s">
        <v>321</v>
      </c>
      <c r="E8" s="10" t="s">
        <v>322</v>
      </c>
      <c r="F8" s="10" t="s">
        <v>222</v>
      </c>
      <c r="G8" s="18" t="n">
        <v>46269</v>
      </c>
      <c r="H8" s="10" t="s">
        <v>186</v>
      </c>
      <c r="I8" s="11" t="s">
        <v>107</v>
      </c>
      <c r="J8" s="10" t="s">
        <v>323</v>
      </c>
      <c r="K8" s="18" t="n">
        <v>46295</v>
      </c>
      <c r="L8" s="11" t="s">
        <v>83</v>
      </c>
      <c r="M8" s="10"/>
      <c r="N8" s="31" t="n">
        <f aca="true">IF(OR(G8="",L8="Resolved",L8="Closed"),"",TODAY()-G8)</f>
        <v>6</v>
      </c>
      <c r="O8" s="11"/>
      <c r="P8" s="10"/>
      <c r="Q8" s="18" t="n">
        <v>46275</v>
      </c>
    </row>
    <row r="9" customFormat="false" ht="48" hidden="false" customHeight="true" outlineLevel="0" collapsed="false">
      <c r="A9" s="11" t="s">
        <v>122</v>
      </c>
      <c r="B9" s="10" t="s">
        <v>324</v>
      </c>
      <c r="C9" s="10" t="s">
        <v>325</v>
      </c>
      <c r="D9" s="10" t="s">
        <v>326</v>
      </c>
      <c r="E9" s="10" t="s">
        <v>327</v>
      </c>
      <c r="F9" s="10" t="s">
        <v>309</v>
      </c>
      <c r="G9" s="18" t="n">
        <v>46272</v>
      </c>
      <c r="H9" s="10" t="s">
        <v>148</v>
      </c>
      <c r="I9" s="11" t="s">
        <v>105</v>
      </c>
      <c r="J9" s="10" t="s">
        <v>328</v>
      </c>
      <c r="K9" s="18" t="n">
        <v>46283</v>
      </c>
      <c r="L9" s="11" t="s">
        <v>317</v>
      </c>
      <c r="M9" s="10" t="s">
        <v>270</v>
      </c>
      <c r="N9" s="31" t="n">
        <f aca="true">IF(OR(G9="",L9="Resolved",L9="Closed"),"",TODAY()-G9)</f>
        <v>3</v>
      </c>
      <c r="O9" s="11"/>
      <c r="P9" s="10"/>
      <c r="Q9" s="18" t="n">
        <v>46275</v>
      </c>
    </row>
    <row r="10" customFormat="false" ht="48" hidden="false" customHeight="true" outlineLevel="0" collapsed="false">
      <c r="A10" s="11" t="s">
        <v>329</v>
      </c>
      <c r="B10" s="10" t="s">
        <v>330</v>
      </c>
      <c r="C10" s="10" t="s">
        <v>331</v>
      </c>
      <c r="D10" s="10" t="s">
        <v>332</v>
      </c>
      <c r="E10" s="10" t="s">
        <v>333</v>
      </c>
      <c r="F10" s="10" t="s">
        <v>334</v>
      </c>
      <c r="G10" s="18" t="n">
        <v>46273</v>
      </c>
      <c r="H10" s="10" t="s">
        <v>148</v>
      </c>
      <c r="I10" s="11" t="s">
        <v>107</v>
      </c>
      <c r="J10" s="10" t="s">
        <v>335</v>
      </c>
      <c r="K10" s="18" t="n">
        <v>46287</v>
      </c>
      <c r="L10" s="11" t="s">
        <v>83</v>
      </c>
      <c r="M10" s="10"/>
      <c r="N10" s="31" t="n">
        <f aca="true">IF(OR(G10="",L10="Resolved",L10="Closed"),"",TODAY()-G10)</f>
        <v>2</v>
      </c>
      <c r="O10" s="11" t="s">
        <v>173</v>
      </c>
      <c r="P10" s="10"/>
      <c r="Q10" s="18" t="n">
        <v>46275</v>
      </c>
    </row>
    <row r="11" customFormat="false" ht="48" hidden="false" customHeight="true" outlineLevel="0" collapsed="false">
      <c r="A11" s="11" t="s">
        <v>336</v>
      </c>
      <c r="B11" s="10" t="s">
        <v>337</v>
      </c>
      <c r="C11" s="10" t="s">
        <v>338</v>
      </c>
      <c r="D11" s="10" t="s">
        <v>339</v>
      </c>
      <c r="E11" s="10" t="s">
        <v>340</v>
      </c>
      <c r="F11" s="10" t="s">
        <v>341</v>
      </c>
      <c r="G11" s="18" t="n">
        <v>46258</v>
      </c>
      <c r="H11" s="10" t="s">
        <v>196</v>
      </c>
      <c r="I11" s="11" t="s">
        <v>109</v>
      </c>
      <c r="J11" s="10" t="s">
        <v>342</v>
      </c>
      <c r="K11" s="18" t="n">
        <v>46262</v>
      </c>
      <c r="L11" s="11" t="s">
        <v>343</v>
      </c>
      <c r="M11" s="10"/>
      <c r="N11" s="31" t="str">
        <f aca="true">IF(OR(G11="",L11="Resolved",L11="Closed"),"",TODAY()-G11)</f>
        <v/>
      </c>
      <c r="O11" s="11"/>
      <c r="P11" s="10" t="s">
        <v>344</v>
      </c>
      <c r="Q11" s="18" t="n">
        <v>46262</v>
      </c>
    </row>
    <row r="12" customFormat="false" ht="19.5" hidden="false" customHeight="true" outlineLevel="0" collapsed="false">
      <c r="A12" s="11"/>
      <c r="B12" s="10"/>
      <c r="C12" s="10"/>
      <c r="D12" s="10"/>
      <c r="E12" s="10"/>
      <c r="F12" s="10"/>
      <c r="G12" s="18"/>
      <c r="H12" s="10"/>
      <c r="I12" s="11"/>
      <c r="J12" s="10"/>
      <c r="K12" s="18"/>
      <c r="L12" s="11"/>
      <c r="M12" s="10"/>
      <c r="N12" s="31" t="str">
        <f aca="true">IF(OR(G12="",L12="Resolved",L12="Closed"),"",TODAY()-G12)</f>
        <v/>
      </c>
      <c r="O12" s="11"/>
      <c r="P12" s="10"/>
      <c r="Q12" s="18"/>
    </row>
    <row r="13" customFormat="false" ht="19.5" hidden="false" customHeight="true" outlineLevel="0" collapsed="false">
      <c r="A13" s="11"/>
      <c r="B13" s="10"/>
      <c r="C13" s="10"/>
      <c r="D13" s="10"/>
      <c r="E13" s="10"/>
      <c r="F13" s="10"/>
      <c r="G13" s="18"/>
      <c r="H13" s="10"/>
      <c r="I13" s="11"/>
      <c r="J13" s="10"/>
      <c r="K13" s="18"/>
      <c r="L13" s="11"/>
      <c r="M13" s="10"/>
      <c r="N13" s="31" t="str">
        <f aca="true">IF(OR(G13="",L13="Resolved",L13="Closed"),"",TODAY()-G13)</f>
        <v/>
      </c>
      <c r="O13" s="11"/>
      <c r="P13" s="10"/>
      <c r="Q13" s="18"/>
    </row>
    <row r="14" customFormat="false" ht="19.5" hidden="false" customHeight="true" outlineLevel="0" collapsed="false">
      <c r="A14" s="11"/>
      <c r="B14" s="10"/>
      <c r="C14" s="10"/>
      <c r="D14" s="10"/>
      <c r="E14" s="10"/>
      <c r="F14" s="10"/>
      <c r="G14" s="18"/>
      <c r="H14" s="10"/>
      <c r="I14" s="11"/>
      <c r="J14" s="10"/>
      <c r="K14" s="18"/>
      <c r="L14" s="11"/>
      <c r="M14" s="10"/>
      <c r="N14" s="31" t="str">
        <f aca="true">IF(OR(G14="",L14="Resolved",L14="Closed"),"",TODAY()-G14)</f>
        <v/>
      </c>
      <c r="O14" s="11"/>
      <c r="P14" s="10"/>
      <c r="Q14" s="18"/>
    </row>
    <row r="15" customFormat="false" ht="19.5" hidden="false" customHeight="true" outlineLevel="0" collapsed="false">
      <c r="A15" s="11"/>
      <c r="B15" s="10"/>
      <c r="C15" s="10"/>
      <c r="D15" s="10"/>
      <c r="E15" s="10"/>
      <c r="F15" s="10"/>
      <c r="G15" s="18"/>
      <c r="H15" s="10"/>
      <c r="I15" s="11"/>
      <c r="J15" s="10"/>
      <c r="K15" s="18"/>
      <c r="L15" s="11"/>
      <c r="M15" s="10"/>
      <c r="N15" s="31" t="str">
        <f aca="true">IF(OR(G15="",L15="Resolved",L15="Closed"),"",TODAY()-G15)</f>
        <v/>
      </c>
      <c r="O15" s="11"/>
      <c r="P15" s="10"/>
      <c r="Q15" s="18"/>
    </row>
    <row r="16" customFormat="false" ht="19.5" hidden="false" customHeight="true" outlineLevel="0" collapsed="false">
      <c r="A16" s="11"/>
      <c r="B16" s="10"/>
      <c r="C16" s="10"/>
      <c r="D16" s="10"/>
      <c r="E16" s="10"/>
      <c r="F16" s="10"/>
      <c r="G16" s="18"/>
      <c r="H16" s="10"/>
      <c r="I16" s="11"/>
      <c r="J16" s="10"/>
      <c r="K16" s="18"/>
      <c r="L16" s="11"/>
      <c r="M16" s="10"/>
      <c r="N16" s="31" t="str">
        <f aca="true">IF(OR(G16="",L16="Resolved",L16="Closed"),"",TODAY()-G16)</f>
        <v/>
      </c>
      <c r="O16" s="11"/>
      <c r="P16" s="10"/>
      <c r="Q16" s="18"/>
    </row>
    <row r="17" customFormat="false" ht="19.5" hidden="false" customHeight="true" outlineLevel="0" collapsed="false">
      <c r="A17" s="11"/>
      <c r="B17" s="10"/>
      <c r="C17" s="10"/>
      <c r="D17" s="10"/>
      <c r="E17" s="10"/>
      <c r="F17" s="10"/>
      <c r="G17" s="18"/>
      <c r="H17" s="10"/>
      <c r="I17" s="11"/>
      <c r="J17" s="10"/>
      <c r="K17" s="18"/>
      <c r="L17" s="11"/>
      <c r="M17" s="10"/>
      <c r="N17" s="31" t="str">
        <f aca="true">IF(OR(G17="",L17="Resolved",L17="Closed"),"",TODAY()-G17)</f>
        <v/>
      </c>
      <c r="O17" s="11"/>
      <c r="P17" s="10"/>
      <c r="Q17" s="18"/>
    </row>
    <row r="18" customFormat="false" ht="19.5" hidden="false" customHeight="true" outlineLevel="0" collapsed="false">
      <c r="A18" s="11"/>
      <c r="B18" s="10"/>
      <c r="C18" s="10"/>
      <c r="D18" s="10"/>
      <c r="E18" s="10"/>
      <c r="F18" s="10"/>
      <c r="G18" s="18"/>
      <c r="H18" s="10"/>
      <c r="I18" s="11"/>
      <c r="J18" s="10"/>
      <c r="K18" s="18"/>
      <c r="L18" s="11"/>
      <c r="M18" s="10"/>
      <c r="N18" s="31" t="str">
        <f aca="true">IF(OR(G18="",L18="Resolved",L18="Closed"),"",TODAY()-G18)</f>
        <v/>
      </c>
      <c r="O18" s="11"/>
      <c r="P18" s="10"/>
      <c r="Q18" s="18"/>
    </row>
    <row r="19" customFormat="false" ht="19.5" hidden="false" customHeight="true" outlineLevel="0" collapsed="false">
      <c r="A19" s="11"/>
      <c r="B19" s="10"/>
      <c r="C19" s="10"/>
      <c r="D19" s="10"/>
      <c r="E19" s="10"/>
      <c r="F19" s="10"/>
      <c r="G19" s="18"/>
      <c r="H19" s="10"/>
      <c r="I19" s="11"/>
      <c r="J19" s="10"/>
      <c r="K19" s="18"/>
      <c r="L19" s="11"/>
      <c r="M19" s="10"/>
      <c r="N19" s="31" t="str">
        <f aca="true">IF(OR(G19="",L19="Resolved",L19="Closed"),"",TODAY()-G19)</f>
        <v/>
      </c>
      <c r="O19" s="11"/>
      <c r="P19" s="10"/>
      <c r="Q19" s="18"/>
    </row>
    <row r="20" customFormat="false" ht="19.5" hidden="false" customHeight="true" outlineLevel="0" collapsed="false">
      <c r="A20" s="11"/>
      <c r="B20" s="10"/>
      <c r="C20" s="10"/>
      <c r="D20" s="10"/>
      <c r="E20" s="10"/>
      <c r="F20" s="10"/>
      <c r="G20" s="18"/>
      <c r="H20" s="10"/>
      <c r="I20" s="11"/>
      <c r="J20" s="10"/>
      <c r="K20" s="18"/>
      <c r="L20" s="11"/>
      <c r="M20" s="10"/>
      <c r="N20" s="31" t="str">
        <f aca="true">IF(OR(G20="",L20="Resolved",L20="Closed"),"",TODAY()-G20)</f>
        <v/>
      </c>
      <c r="O20" s="11"/>
      <c r="P20" s="10"/>
      <c r="Q20" s="18"/>
    </row>
    <row r="21" customFormat="false" ht="19.5" hidden="false" customHeight="true" outlineLevel="0" collapsed="false">
      <c r="A21" s="11"/>
      <c r="B21" s="10"/>
      <c r="C21" s="10"/>
      <c r="D21" s="10"/>
      <c r="E21" s="10"/>
      <c r="F21" s="10"/>
      <c r="G21" s="18"/>
      <c r="H21" s="10"/>
      <c r="I21" s="11"/>
      <c r="J21" s="10"/>
      <c r="K21" s="18"/>
      <c r="L21" s="11"/>
      <c r="M21" s="10"/>
      <c r="N21" s="31" t="str">
        <f aca="true">IF(OR(G21="",L21="Resolved",L21="Closed"),"",TODAY()-G21)</f>
        <v/>
      </c>
      <c r="O21" s="11"/>
      <c r="P21" s="10"/>
      <c r="Q21" s="18"/>
    </row>
    <row r="22" customFormat="false" ht="19.5" hidden="false" customHeight="true" outlineLevel="0" collapsed="false">
      <c r="A22" s="11"/>
      <c r="B22" s="10"/>
      <c r="C22" s="10"/>
      <c r="D22" s="10"/>
      <c r="E22" s="10"/>
      <c r="F22" s="10"/>
      <c r="G22" s="18"/>
      <c r="H22" s="10"/>
      <c r="I22" s="11"/>
      <c r="J22" s="10"/>
      <c r="K22" s="18"/>
      <c r="L22" s="11"/>
      <c r="M22" s="10"/>
      <c r="N22" s="31" t="str">
        <f aca="true">IF(OR(G22="",L22="Resolved",L22="Closed"),"",TODAY()-G22)</f>
        <v/>
      </c>
      <c r="O22" s="11"/>
      <c r="P22" s="10"/>
      <c r="Q22" s="18"/>
    </row>
    <row r="23" customFormat="false" ht="19.5" hidden="false" customHeight="true" outlineLevel="0" collapsed="false">
      <c r="A23" s="11"/>
      <c r="B23" s="10"/>
      <c r="C23" s="10"/>
      <c r="D23" s="10"/>
      <c r="E23" s="10"/>
      <c r="F23" s="10"/>
      <c r="G23" s="18"/>
      <c r="H23" s="10"/>
      <c r="I23" s="11"/>
      <c r="J23" s="10"/>
      <c r="K23" s="18"/>
      <c r="L23" s="11"/>
      <c r="M23" s="10"/>
      <c r="N23" s="31" t="str">
        <f aca="true">IF(OR(G23="",L23="Resolved",L23="Closed"),"",TODAY()-G23)</f>
        <v/>
      </c>
      <c r="O23" s="11"/>
      <c r="P23" s="10"/>
      <c r="Q23" s="18"/>
    </row>
    <row r="24" customFormat="false" ht="19.5" hidden="false" customHeight="true" outlineLevel="0" collapsed="false">
      <c r="A24" s="11"/>
      <c r="B24" s="10"/>
      <c r="C24" s="10"/>
      <c r="D24" s="10"/>
      <c r="E24" s="10"/>
      <c r="F24" s="10"/>
      <c r="G24" s="18"/>
      <c r="H24" s="10"/>
      <c r="I24" s="11"/>
      <c r="J24" s="10"/>
      <c r="K24" s="18"/>
      <c r="L24" s="11"/>
      <c r="M24" s="10"/>
      <c r="N24" s="31" t="str">
        <f aca="true">IF(OR(G24="",L24="Resolved",L24="Closed"),"",TODAY()-G24)</f>
        <v/>
      </c>
      <c r="O24" s="11"/>
      <c r="P24" s="10"/>
      <c r="Q24" s="18"/>
    </row>
    <row r="25" customFormat="false" ht="19.5" hidden="false" customHeight="true" outlineLevel="0" collapsed="false">
      <c r="A25" s="11"/>
      <c r="B25" s="10"/>
      <c r="C25" s="10"/>
      <c r="D25" s="10"/>
      <c r="E25" s="10"/>
      <c r="F25" s="10"/>
      <c r="G25" s="18"/>
      <c r="H25" s="10"/>
      <c r="I25" s="11"/>
      <c r="J25" s="10"/>
      <c r="K25" s="18"/>
      <c r="L25" s="11"/>
      <c r="M25" s="10"/>
      <c r="N25" s="31" t="str">
        <f aca="true">IF(OR(G25="",L25="Resolved",L25="Closed"),"",TODAY()-G25)</f>
        <v/>
      </c>
      <c r="O25" s="11"/>
      <c r="P25" s="10"/>
      <c r="Q25" s="18"/>
    </row>
    <row r="26" customFormat="false" ht="19.5" hidden="false" customHeight="true" outlineLevel="0" collapsed="false">
      <c r="A26" s="11"/>
      <c r="B26" s="10"/>
      <c r="C26" s="10"/>
      <c r="D26" s="10"/>
      <c r="E26" s="10"/>
      <c r="F26" s="10"/>
      <c r="G26" s="18"/>
      <c r="H26" s="10"/>
      <c r="I26" s="11"/>
      <c r="J26" s="10"/>
      <c r="K26" s="18"/>
      <c r="L26" s="11"/>
      <c r="M26" s="10"/>
      <c r="N26" s="31" t="str">
        <f aca="true">IF(OR(G26="",L26="Resolved",L26="Closed"),"",TODAY()-G26)</f>
        <v/>
      </c>
      <c r="O26" s="11"/>
      <c r="P26" s="10"/>
      <c r="Q26" s="18"/>
    </row>
    <row r="27" customFormat="false" ht="19.5" hidden="false" customHeight="true" outlineLevel="0" collapsed="false">
      <c r="A27" s="11"/>
      <c r="B27" s="10"/>
      <c r="C27" s="10"/>
      <c r="D27" s="10"/>
      <c r="E27" s="10"/>
      <c r="F27" s="10"/>
      <c r="G27" s="18"/>
      <c r="H27" s="10"/>
      <c r="I27" s="11"/>
      <c r="J27" s="10"/>
      <c r="K27" s="18"/>
      <c r="L27" s="11"/>
      <c r="M27" s="10"/>
      <c r="N27" s="31" t="str">
        <f aca="true">IF(OR(G27="",L27="Resolved",L27="Closed"),"",TODAY()-G27)</f>
        <v/>
      </c>
      <c r="O27" s="11"/>
      <c r="P27" s="10"/>
      <c r="Q27" s="18"/>
    </row>
    <row r="28" customFormat="false" ht="19.5" hidden="false" customHeight="true" outlineLevel="0" collapsed="false">
      <c r="A28" s="11"/>
      <c r="B28" s="10"/>
      <c r="C28" s="10"/>
      <c r="D28" s="10"/>
      <c r="E28" s="10"/>
      <c r="F28" s="10"/>
      <c r="G28" s="18"/>
      <c r="H28" s="10"/>
      <c r="I28" s="11"/>
      <c r="J28" s="10"/>
      <c r="K28" s="18"/>
      <c r="L28" s="11"/>
      <c r="M28" s="10"/>
      <c r="N28" s="31" t="str">
        <f aca="true">IF(OR(G28="",L28="Resolved",L28="Closed"),"",TODAY()-G28)</f>
        <v/>
      </c>
      <c r="O28" s="11"/>
      <c r="P28" s="10"/>
      <c r="Q28" s="18"/>
    </row>
    <row r="29" customFormat="false" ht="19.5" hidden="false" customHeight="true" outlineLevel="0" collapsed="false">
      <c r="A29" s="11"/>
      <c r="B29" s="10"/>
      <c r="C29" s="10"/>
      <c r="D29" s="10"/>
      <c r="E29" s="10"/>
      <c r="F29" s="10"/>
      <c r="G29" s="18"/>
      <c r="H29" s="10"/>
      <c r="I29" s="11"/>
      <c r="J29" s="10"/>
      <c r="K29" s="18"/>
      <c r="L29" s="11"/>
      <c r="M29" s="10"/>
      <c r="N29" s="31" t="str">
        <f aca="true">IF(OR(G29="",L29="Resolved",L29="Closed"),"",TODAY()-G29)</f>
        <v/>
      </c>
      <c r="O29" s="11"/>
      <c r="P29" s="10"/>
      <c r="Q29" s="18"/>
    </row>
    <row r="30" customFormat="false" ht="19.5" hidden="false" customHeight="true" outlineLevel="0" collapsed="false">
      <c r="A30" s="11"/>
      <c r="B30" s="10"/>
      <c r="C30" s="10"/>
      <c r="D30" s="10"/>
      <c r="E30" s="10"/>
      <c r="F30" s="10"/>
      <c r="G30" s="18"/>
      <c r="H30" s="10"/>
      <c r="I30" s="11"/>
      <c r="J30" s="10"/>
      <c r="K30" s="18"/>
      <c r="L30" s="11"/>
      <c r="M30" s="10"/>
      <c r="N30" s="31" t="str">
        <f aca="true">IF(OR(G30="",L30="Resolved",L30="Closed"),"",TODAY()-G30)</f>
        <v/>
      </c>
      <c r="O30" s="11"/>
      <c r="P30" s="10"/>
      <c r="Q30" s="18"/>
    </row>
    <row r="31" customFormat="false" ht="19.5" hidden="false" customHeight="true" outlineLevel="0" collapsed="false">
      <c r="A31" s="11"/>
      <c r="B31" s="10"/>
      <c r="C31" s="10"/>
      <c r="D31" s="10"/>
      <c r="E31" s="10"/>
      <c r="F31" s="10"/>
      <c r="G31" s="18"/>
      <c r="H31" s="10"/>
      <c r="I31" s="11"/>
      <c r="J31" s="10"/>
      <c r="K31" s="18"/>
      <c r="L31" s="11"/>
      <c r="M31" s="10"/>
      <c r="N31" s="31" t="str">
        <f aca="true">IF(OR(G31="",L31="Resolved",L31="Closed"),"",TODAY()-G31)</f>
        <v/>
      </c>
      <c r="O31" s="11"/>
      <c r="P31" s="10"/>
      <c r="Q31" s="18"/>
    </row>
    <row r="32" customFormat="false" ht="19.5" hidden="false" customHeight="true" outlineLevel="0" collapsed="false">
      <c r="A32" s="11"/>
      <c r="B32" s="10"/>
      <c r="C32" s="10"/>
      <c r="D32" s="10"/>
      <c r="E32" s="10"/>
      <c r="F32" s="10"/>
      <c r="G32" s="18"/>
      <c r="H32" s="10"/>
      <c r="I32" s="11"/>
      <c r="J32" s="10"/>
      <c r="K32" s="18"/>
      <c r="L32" s="11"/>
      <c r="M32" s="10"/>
      <c r="N32" s="31" t="str">
        <f aca="true">IF(OR(G32="",L32="Resolved",L32="Closed"),"",TODAY()-G32)</f>
        <v/>
      </c>
      <c r="O32" s="11"/>
      <c r="P32" s="10"/>
      <c r="Q32" s="18"/>
    </row>
    <row r="33" customFormat="false" ht="19.5" hidden="false" customHeight="true" outlineLevel="0" collapsed="false">
      <c r="A33" s="11"/>
      <c r="B33" s="10"/>
      <c r="C33" s="10"/>
      <c r="D33" s="10"/>
      <c r="E33" s="10"/>
      <c r="F33" s="10"/>
      <c r="G33" s="18"/>
      <c r="H33" s="10"/>
      <c r="I33" s="11"/>
      <c r="J33" s="10"/>
      <c r="K33" s="18"/>
      <c r="L33" s="11"/>
      <c r="M33" s="10"/>
      <c r="N33" s="31" t="str">
        <f aca="true">IF(OR(G33="",L33="Resolved",L33="Closed"),"",TODAY()-G33)</f>
        <v/>
      </c>
      <c r="O33" s="11"/>
      <c r="P33" s="10"/>
      <c r="Q33" s="18"/>
    </row>
    <row r="34" customFormat="false" ht="19.5" hidden="false" customHeight="true" outlineLevel="0" collapsed="false">
      <c r="A34" s="11"/>
      <c r="B34" s="10"/>
      <c r="C34" s="10"/>
      <c r="D34" s="10"/>
      <c r="E34" s="10"/>
      <c r="F34" s="10"/>
      <c r="G34" s="18"/>
      <c r="H34" s="10"/>
      <c r="I34" s="11"/>
      <c r="J34" s="10"/>
      <c r="K34" s="18"/>
      <c r="L34" s="11"/>
      <c r="M34" s="10"/>
      <c r="N34" s="31" t="str">
        <f aca="true">IF(OR(G34="",L34="Resolved",L34="Closed"),"",TODAY()-G34)</f>
        <v/>
      </c>
      <c r="O34" s="11"/>
      <c r="P34" s="10"/>
      <c r="Q34" s="18"/>
    </row>
    <row r="35" customFormat="false" ht="19.5" hidden="false" customHeight="true" outlineLevel="0" collapsed="false">
      <c r="A35" s="11"/>
      <c r="B35" s="10"/>
      <c r="C35" s="10"/>
      <c r="D35" s="10"/>
      <c r="E35" s="10"/>
      <c r="F35" s="10"/>
      <c r="G35" s="18"/>
      <c r="H35" s="10"/>
      <c r="I35" s="11"/>
      <c r="J35" s="10"/>
      <c r="K35" s="18"/>
      <c r="L35" s="11"/>
      <c r="M35" s="10"/>
      <c r="N35" s="31" t="str">
        <f aca="true">IF(OR(G35="",L35="Resolved",L35="Closed"),"",TODAY()-G35)</f>
        <v/>
      </c>
      <c r="O35" s="11"/>
      <c r="P35" s="10"/>
      <c r="Q35" s="18"/>
    </row>
    <row r="36" customFormat="false" ht="19.5" hidden="false" customHeight="true" outlineLevel="0" collapsed="false">
      <c r="A36" s="11"/>
      <c r="B36" s="10"/>
      <c r="C36" s="10"/>
      <c r="D36" s="10"/>
      <c r="E36" s="10"/>
      <c r="F36" s="10"/>
      <c r="G36" s="18"/>
      <c r="H36" s="10"/>
      <c r="I36" s="11"/>
      <c r="J36" s="10"/>
      <c r="K36" s="18"/>
      <c r="L36" s="11"/>
      <c r="M36" s="10"/>
      <c r="N36" s="31" t="str">
        <f aca="true">IF(OR(G36="",L36="Resolved",L36="Closed"),"",TODAY()-G36)</f>
        <v/>
      </c>
      <c r="O36" s="11"/>
      <c r="P36" s="10"/>
      <c r="Q36" s="18"/>
    </row>
    <row r="37" customFormat="false" ht="19.5" hidden="false" customHeight="true" outlineLevel="0" collapsed="false">
      <c r="A37" s="11"/>
      <c r="B37" s="10"/>
      <c r="C37" s="10"/>
      <c r="D37" s="10"/>
      <c r="E37" s="10"/>
      <c r="F37" s="10"/>
      <c r="G37" s="18"/>
      <c r="H37" s="10"/>
      <c r="I37" s="11"/>
      <c r="J37" s="10"/>
      <c r="K37" s="18"/>
      <c r="L37" s="11"/>
      <c r="M37" s="10"/>
      <c r="N37" s="31" t="str">
        <f aca="true">IF(OR(G37="",L37="Resolved",L37="Closed"),"",TODAY()-G37)</f>
        <v/>
      </c>
      <c r="O37" s="11"/>
      <c r="P37" s="10"/>
      <c r="Q37" s="18"/>
    </row>
    <row r="38" customFormat="false" ht="19.5" hidden="false" customHeight="true" outlineLevel="0" collapsed="false">
      <c r="A38" s="11"/>
      <c r="B38" s="10"/>
      <c r="C38" s="10"/>
      <c r="D38" s="10"/>
      <c r="E38" s="10"/>
      <c r="F38" s="10"/>
      <c r="G38" s="18"/>
      <c r="H38" s="10"/>
      <c r="I38" s="11"/>
      <c r="J38" s="10"/>
      <c r="K38" s="18"/>
      <c r="L38" s="11"/>
      <c r="M38" s="10"/>
      <c r="N38" s="31" t="str">
        <f aca="true">IF(OR(G38="",L38="Resolved",L38="Closed"),"",TODAY()-G38)</f>
        <v/>
      </c>
      <c r="O38" s="11"/>
      <c r="P38" s="10"/>
      <c r="Q38" s="18"/>
    </row>
    <row r="39" customFormat="false" ht="19.5" hidden="false" customHeight="true" outlineLevel="0" collapsed="false">
      <c r="A39" s="11"/>
      <c r="B39" s="10"/>
      <c r="C39" s="10"/>
      <c r="D39" s="10"/>
      <c r="E39" s="10"/>
      <c r="F39" s="10"/>
      <c r="G39" s="18"/>
      <c r="H39" s="10"/>
      <c r="I39" s="11"/>
      <c r="J39" s="10"/>
      <c r="K39" s="18"/>
      <c r="L39" s="11"/>
      <c r="M39" s="10"/>
      <c r="N39" s="31" t="str">
        <f aca="true">IF(OR(G39="",L39="Resolved",L39="Closed"),"",TODAY()-G39)</f>
        <v/>
      </c>
      <c r="O39" s="11"/>
      <c r="P39" s="10"/>
      <c r="Q39" s="18"/>
    </row>
    <row r="40" customFormat="false" ht="19.5" hidden="false" customHeight="true" outlineLevel="0" collapsed="false">
      <c r="A40" s="11"/>
      <c r="B40" s="10"/>
      <c r="C40" s="10"/>
      <c r="D40" s="10"/>
      <c r="E40" s="10"/>
      <c r="F40" s="10"/>
      <c r="G40" s="18"/>
      <c r="H40" s="10"/>
      <c r="I40" s="11"/>
      <c r="J40" s="10"/>
      <c r="K40" s="18"/>
      <c r="L40" s="11"/>
      <c r="M40" s="10"/>
      <c r="N40" s="31" t="str">
        <f aca="true">IF(OR(G40="",L40="Resolved",L40="Closed"),"",TODAY()-G40)</f>
        <v/>
      </c>
      <c r="O40" s="11"/>
      <c r="P40" s="10"/>
      <c r="Q40" s="18"/>
    </row>
    <row r="41" customFormat="false" ht="19.5" hidden="false" customHeight="true" outlineLevel="0" collapsed="false">
      <c r="A41" s="11"/>
      <c r="B41" s="10"/>
      <c r="C41" s="10"/>
      <c r="D41" s="10"/>
      <c r="E41" s="10"/>
      <c r="F41" s="10"/>
      <c r="G41" s="18"/>
      <c r="H41" s="10"/>
      <c r="I41" s="11"/>
      <c r="J41" s="10"/>
      <c r="K41" s="18"/>
      <c r="L41" s="11"/>
      <c r="M41" s="10"/>
      <c r="N41" s="31" t="str">
        <f aca="true">IF(OR(G41="",L41="Resolved",L41="Closed"),"",TODAY()-G41)</f>
        <v/>
      </c>
      <c r="O41" s="11"/>
      <c r="P41" s="10"/>
      <c r="Q41" s="18"/>
    </row>
    <row r="42" customFormat="false" ht="19.5" hidden="false" customHeight="true" outlineLevel="0" collapsed="false">
      <c r="A42" s="11"/>
      <c r="B42" s="10"/>
      <c r="C42" s="10"/>
      <c r="D42" s="10"/>
      <c r="E42" s="10"/>
      <c r="F42" s="10"/>
      <c r="G42" s="18"/>
      <c r="H42" s="10"/>
      <c r="I42" s="11"/>
      <c r="J42" s="10"/>
      <c r="K42" s="18"/>
      <c r="L42" s="11"/>
      <c r="M42" s="10"/>
      <c r="N42" s="31" t="str">
        <f aca="true">IF(OR(G42="",L42="Resolved",L42="Closed"),"",TODAY()-G42)</f>
        <v/>
      </c>
      <c r="O42" s="11"/>
      <c r="P42" s="10"/>
      <c r="Q42" s="18"/>
    </row>
    <row r="43" customFormat="false" ht="19.5" hidden="false" customHeight="true" outlineLevel="0" collapsed="false">
      <c r="A43" s="11"/>
      <c r="B43" s="10"/>
      <c r="C43" s="10"/>
      <c r="D43" s="10"/>
      <c r="E43" s="10"/>
      <c r="F43" s="10"/>
      <c r="G43" s="18"/>
      <c r="H43" s="10"/>
      <c r="I43" s="11"/>
      <c r="J43" s="10"/>
      <c r="K43" s="18"/>
      <c r="L43" s="11"/>
      <c r="M43" s="10"/>
      <c r="N43" s="31" t="str">
        <f aca="true">IF(OR(G43="",L43="Resolved",L43="Closed"),"",TODAY()-G43)</f>
        <v/>
      </c>
      <c r="O43" s="11"/>
      <c r="P43" s="10"/>
      <c r="Q43" s="18"/>
    </row>
    <row r="44" customFormat="false" ht="19.5" hidden="false" customHeight="true" outlineLevel="0" collapsed="false">
      <c r="A44" s="11"/>
      <c r="B44" s="10"/>
      <c r="C44" s="10"/>
      <c r="D44" s="10"/>
      <c r="E44" s="10"/>
      <c r="F44" s="10"/>
      <c r="G44" s="18"/>
      <c r="H44" s="10"/>
      <c r="I44" s="11"/>
      <c r="J44" s="10"/>
      <c r="K44" s="18"/>
      <c r="L44" s="11"/>
      <c r="M44" s="10"/>
      <c r="N44" s="31" t="str">
        <f aca="true">IF(OR(G44="",L44="Resolved",L44="Closed"),"",TODAY()-G44)</f>
        <v/>
      </c>
      <c r="O44" s="11"/>
      <c r="P44" s="10"/>
      <c r="Q44" s="18"/>
    </row>
    <row r="45" customFormat="false" ht="19.5" hidden="false" customHeight="true" outlineLevel="0" collapsed="false">
      <c r="A45" s="11"/>
      <c r="B45" s="10"/>
      <c r="C45" s="10"/>
      <c r="D45" s="10"/>
      <c r="E45" s="10"/>
      <c r="F45" s="10"/>
      <c r="G45" s="18"/>
      <c r="H45" s="10"/>
      <c r="I45" s="11"/>
      <c r="J45" s="10"/>
      <c r="K45" s="18"/>
      <c r="L45" s="11"/>
      <c r="M45" s="10"/>
      <c r="N45" s="31" t="str">
        <f aca="true">IF(OR(G45="",L45="Resolved",L45="Closed"),"",TODAY()-G45)</f>
        <v/>
      </c>
      <c r="O45" s="11"/>
      <c r="P45" s="10"/>
      <c r="Q45" s="18"/>
    </row>
    <row r="46" customFormat="false" ht="19.5" hidden="false" customHeight="true" outlineLevel="0" collapsed="false">
      <c r="A46" s="11"/>
      <c r="B46" s="10"/>
      <c r="C46" s="10"/>
      <c r="D46" s="10"/>
      <c r="E46" s="10"/>
      <c r="F46" s="10"/>
      <c r="G46" s="18"/>
      <c r="H46" s="10"/>
      <c r="I46" s="11"/>
      <c r="J46" s="10"/>
      <c r="K46" s="18"/>
      <c r="L46" s="11"/>
      <c r="M46" s="10"/>
      <c r="N46" s="31" t="str">
        <f aca="true">IF(OR(G46="",L46="Resolved",L46="Closed"),"",TODAY()-G46)</f>
        <v/>
      </c>
      <c r="O46" s="11"/>
      <c r="P46" s="10"/>
      <c r="Q46" s="18"/>
    </row>
    <row r="47" customFormat="false" ht="19.5" hidden="false" customHeight="true" outlineLevel="0" collapsed="false">
      <c r="A47" s="11"/>
      <c r="B47" s="10"/>
      <c r="C47" s="10"/>
      <c r="D47" s="10"/>
      <c r="E47" s="10"/>
      <c r="F47" s="10"/>
      <c r="G47" s="18"/>
      <c r="H47" s="10"/>
      <c r="I47" s="11"/>
      <c r="J47" s="10"/>
      <c r="K47" s="18"/>
      <c r="L47" s="11"/>
      <c r="M47" s="10"/>
      <c r="N47" s="31" t="str">
        <f aca="true">IF(OR(G47="",L47="Resolved",L47="Closed"),"",TODAY()-G47)</f>
        <v/>
      </c>
      <c r="O47" s="11"/>
      <c r="P47" s="10"/>
      <c r="Q47" s="18"/>
    </row>
    <row r="48" customFormat="false" ht="19.5" hidden="false" customHeight="true" outlineLevel="0" collapsed="false">
      <c r="A48" s="11"/>
      <c r="B48" s="10"/>
      <c r="C48" s="10"/>
      <c r="D48" s="10"/>
      <c r="E48" s="10"/>
      <c r="F48" s="10"/>
      <c r="G48" s="18"/>
      <c r="H48" s="10"/>
      <c r="I48" s="11"/>
      <c r="J48" s="10"/>
      <c r="K48" s="18"/>
      <c r="L48" s="11"/>
      <c r="M48" s="10"/>
      <c r="N48" s="31" t="str">
        <f aca="true">IF(OR(G48="",L48="Resolved",L48="Closed"),"",TODAY()-G48)</f>
        <v/>
      </c>
      <c r="O48" s="11"/>
      <c r="P48" s="10"/>
      <c r="Q48" s="18"/>
    </row>
    <row r="49" customFormat="false" ht="19.5" hidden="false" customHeight="true" outlineLevel="0" collapsed="false">
      <c r="A49" s="11"/>
      <c r="B49" s="10"/>
      <c r="C49" s="10"/>
      <c r="D49" s="10"/>
      <c r="E49" s="10"/>
      <c r="F49" s="10"/>
      <c r="G49" s="18"/>
      <c r="H49" s="10"/>
      <c r="I49" s="11"/>
      <c r="J49" s="10"/>
      <c r="K49" s="18"/>
      <c r="L49" s="11"/>
      <c r="M49" s="10"/>
      <c r="N49" s="31" t="str">
        <f aca="true">IF(OR(G49="",L49="Resolved",L49="Closed"),"",TODAY()-G49)</f>
        <v/>
      </c>
      <c r="O49" s="11"/>
      <c r="P49" s="10"/>
      <c r="Q49" s="18"/>
    </row>
    <row r="50" customFormat="false" ht="19.5" hidden="false" customHeight="true" outlineLevel="0" collapsed="false">
      <c r="A50" s="11"/>
      <c r="B50" s="10"/>
      <c r="C50" s="10"/>
      <c r="D50" s="10"/>
      <c r="E50" s="10"/>
      <c r="F50" s="10"/>
      <c r="G50" s="18"/>
      <c r="H50" s="10"/>
      <c r="I50" s="11"/>
      <c r="J50" s="10"/>
      <c r="K50" s="18"/>
      <c r="L50" s="11"/>
      <c r="M50" s="10"/>
      <c r="N50" s="31" t="str">
        <f aca="true">IF(OR(G50="",L50="Resolved",L50="Closed"),"",TODAY()-G50)</f>
        <v/>
      </c>
      <c r="O50" s="11"/>
      <c r="P50" s="10"/>
      <c r="Q50" s="18"/>
    </row>
    <row r="51" customFormat="false" ht="19.5" hidden="false" customHeight="true" outlineLevel="0" collapsed="false">
      <c r="A51" s="11"/>
      <c r="B51" s="10"/>
      <c r="C51" s="10"/>
      <c r="D51" s="10"/>
      <c r="E51" s="10"/>
      <c r="F51" s="10"/>
      <c r="G51" s="18"/>
      <c r="H51" s="10"/>
      <c r="I51" s="11"/>
      <c r="J51" s="10"/>
      <c r="K51" s="18"/>
      <c r="L51" s="11"/>
      <c r="M51" s="10"/>
      <c r="N51" s="31" t="str">
        <f aca="true">IF(OR(G51="",L51="Resolved",L51="Closed"),"",TODAY()-G51)</f>
        <v/>
      </c>
      <c r="O51" s="11"/>
      <c r="P51" s="10"/>
      <c r="Q51" s="18"/>
    </row>
    <row r="52" customFormat="false" ht="19.5" hidden="false" customHeight="true" outlineLevel="0" collapsed="false">
      <c r="A52" s="11"/>
      <c r="B52" s="10"/>
      <c r="C52" s="10"/>
      <c r="D52" s="10"/>
      <c r="E52" s="10"/>
      <c r="F52" s="10"/>
      <c r="G52" s="18"/>
      <c r="H52" s="10"/>
      <c r="I52" s="11"/>
      <c r="J52" s="10"/>
      <c r="K52" s="18"/>
      <c r="L52" s="11"/>
      <c r="M52" s="10"/>
      <c r="N52" s="31" t="str">
        <f aca="true">IF(OR(G52="",L52="Resolved",L52="Closed"),"",TODAY()-G52)</f>
        <v/>
      </c>
      <c r="O52" s="11"/>
      <c r="P52" s="10"/>
      <c r="Q52" s="18"/>
    </row>
    <row r="53" customFormat="false" ht="19.5" hidden="false" customHeight="true" outlineLevel="0" collapsed="false">
      <c r="A53" s="11"/>
      <c r="B53" s="10"/>
      <c r="C53" s="10"/>
      <c r="D53" s="10"/>
      <c r="E53" s="10"/>
      <c r="F53" s="10"/>
      <c r="G53" s="18"/>
      <c r="H53" s="10"/>
      <c r="I53" s="11"/>
      <c r="J53" s="10"/>
      <c r="K53" s="18"/>
      <c r="L53" s="11"/>
      <c r="M53" s="10"/>
      <c r="N53" s="31" t="str">
        <f aca="true">IF(OR(G53="",L53="Resolved",L53="Closed"),"",TODAY()-G53)</f>
        <v/>
      </c>
      <c r="O53" s="11"/>
      <c r="P53" s="10"/>
      <c r="Q53" s="18"/>
    </row>
    <row r="54" customFormat="false" ht="19.5" hidden="false" customHeight="true" outlineLevel="0" collapsed="false">
      <c r="A54" s="11"/>
      <c r="B54" s="10"/>
      <c r="C54" s="10"/>
      <c r="D54" s="10"/>
      <c r="E54" s="10"/>
      <c r="F54" s="10"/>
      <c r="G54" s="18"/>
      <c r="H54" s="10"/>
      <c r="I54" s="11"/>
      <c r="J54" s="10"/>
      <c r="K54" s="18"/>
      <c r="L54" s="11"/>
      <c r="M54" s="10"/>
      <c r="N54" s="31" t="str">
        <f aca="true">IF(OR(G54="",L54="Resolved",L54="Closed"),"",TODAY()-G54)</f>
        <v/>
      </c>
      <c r="O54" s="11"/>
      <c r="P54" s="10"/>
      <c r="Q54" s="18"/>
    </row>
  </sheetData>
  <autoFilter ref="A4:Q54"/>
  <conditionalFormatting sqref="I5:I54">
    <cfRule type="cellIs" priority="2" operator="equal" aboveAverage="0" equalAverage="0" bottom="0" percent="0" rank="0" text="" dxfId="0">
      <formula>"Critical"</formula>
    </cfRule>
    <cfRule type="cellIs" priority="3" operator="equal" aboveAverage="0" equalAverage="0" bottom="0" percent="0" rank="0" text="" dxfId="0">
      <formula>"High"</formula>
    </cfRule>
    <cfRule type="cellIs" priority="4" operator="equal" aboveAverage="0" equalAverage="0" bottom="0" percent="0" rank="0" text="" dxfId="1">
      <formula>"Medium"</formula>
    </cfRule>
    <cfRule type="cellIs" priority="5" operator="equal" aboveAverage="0" equalAverage="0" bottom="0" percent="0" rank="0" text="" dxfId="2">
      <formula>"Low"</formula>
    </cfRule>
  </conditionalFormatting>
  <conditionalFormatting sqref="L5:L54">
    <cfRule type="cellIs" priority="6" operator="equal" aboveAverage="0" equalAverage="0" bottom="0" percent="0" rank="0" text="" dxfId="0">
      <formula>"Escalated"</formula>
    </cfRule>
    <cfRule type="cellIs" priority="7" operator="equal" aboveAverage="0" equalAverage="0" bottom="0" percent="0" rank="0" text="" dxfId="1">
      <formula>"In Progress"</formula>
    </cfRule>
    <cfRule type="cellIs" priority="8" operator="equal" aboveAverage="0" equalAverage="0" bottom="0" percent="0" rank="0" text="" dxfId="2">
      <formula>"Resolved"</formula>
    </cfRule>
    <cfRule type="cellIs" priority="9" operator="equal" aboveAverage="0" equalAverage="0" bottom="0" percent="0" rank="0" text="" dxfId="2">
      <formula>"Closed"</formula>
    </cfRule>
  </conditionalFormatting>
  <dataValidations count="3">
    <dataValidation allowBlank="true" error="Please pick a value from the list." errorStyle="stop" errorTitle="Invalid entry" operator="between" showDropDown="false" showErrorMessage="false" showInputMessage="false" sqref="I5:I54" type="list">
      <formula1>"Critical,High,Medium,Low"</formula1>
      <formula2>0</formula2>
    </dataValidation>
    <dataValidation allowBlank="true" error="Please pick a value from the list." errorStyle="stop" errorTitle="Invalid entry" operator="between" showDropDown="false" showErrorMessage="false" showInputMessage="false" sqref="L5:L54" type="list">
      <formula1>"Open,In Progress,Escalated,Resolved,Closed"</formula1>
      <formula2>0</formula2>
    </dataValidation>
    <dataValidation allowBlank="true" error="Please pick a value from the list." errorStyle="stop" errorTitle="Invalid entry" operator="between" showDropDown="false" showErrorMessage="false" showInputMessage="false" sqref="B5:B54" type="list">
      <formula1>"Technical,Data,Design,Environment,Business Rules,Governance,Access,Resourcing,Third Party"</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1"/>
    <col collapsed="false" customWidth="true" hidden="false" outlineLevel="0" max="3" min="3" style="0" width="26"/>
    <col collapsed="false" customWidth="true" hidden="false" outlineLevel="0" max="4" min="4" style="0" width="38"/>
    <col collapsed="false" customWidth="true" hidden="false" outlineLevel="0" max="5" min="5" style="0" width="20"/>
    <col collapsed="false" customWidth="true" hidden="false" outlineLevel="0" max="6" min="6" style="0" width="17"/>
    <col collapsed="false" customWidth="true" hidden="false" outlineLevel="0" max="7" min="7" style="0" width="15"/>
    <col collapsed="false" customWidth="true" hidden="false" outlineLevel="0" max="9" min="8" style="0" width="13"/>
    <col collapsed="false" customWidth="true" hidden="false" outlineLevel="0" max="10" min="10" style="0" width="10"/>
    <col collapsed="false" customWidth="true" hidden="false" outlineLevel="0" max="11" min="11" style="0" width="34"/>
    <col collapsed="false" customWidth="true" hidden="false" outlineLevel="0" max="12" min="12" style="0" width="11"/>
    <col collapsed="false" customWidth="true" hidden="false" outlineLevel="0" max="13" min="13" style="0" width="12"/>
    <col collapsed="false" customWidth="true" hidden="false" outlineLevel="0" max="14" min="14" style="0" width="38"/>
    <col collapsed="false" customWidth="true" hidden="false" outlineLevel="0" max="15" min="15" style="0" width="12"/>
    <col collapsed="false" customWidth="true" hidden="false" outlineLevel="0" max="16" min="16" style="0" width="13"/>
  </cols>
  <sheetData>
    <row r="1" customFormat="false" ht="25.5" hidden="false" customHeight="true" outlineLevel="0" collapsed="false">
      <c r="A1" s="27" t="s">
        <v>345</v>
      </c>
    </row>
    <row r="2" customFormat="false" ht="15" hidden="false" customHeight="false" outlineLevel="0" collapsed="false">
      <c r="A2" s="13" t="s">
        <v>127</v>
      </c>
    </row>
    <row r="3" customFormat="false" ht="15" hidden="false" customHeight="false" outlineLevel="0" collapsed="false">
      <c r="A3" s="28" t="s">
        <v>128</v>
      </c>
    </row>
    <row r="4" customFormat="false" ht="33.75" hidden="false" customHeight="true" outlineLevel="0" collapsed="false">
      <c r="A4" s="29" t="s">
        <v>91</v>
      </c>
      <c r="B4" s="29" t="s">
        <v>346</v>
      </c>
      <c r="C4" s="29" t="s">
        <v>347</v>
      </c>
      <c r="D4" s="29" t="s">
        <v>292</v>
      </c>
      <c r="E4" s="29" t="s">
        <v>348</v>
      </c>
      <c r="F4" s="29" t="s">
        <v>349</v>
      </c>
      <c r="G4" s="29" t="s">
        <v>350</v>
      </c>
      <c r="H4" s="29" t="s">
        <v>351</v>
      </c>
      <c r="I4" s="29" t="s">
        <v>352</v>
      </c>
      <c r="J4" s="30" t="s">
        <v>353</v>
      </c>
      <c r="K4" s="29" t="s">
        <v>354</v>
      </c>
      <c r="L4" s="29" t="s">
        <v>355</v>
      </c>
      <c r="M4" s="29" t="s">
        <v>95</v>
      </c>
      <c r="N4" s="29" t="s">
        <v>356</v>
      </c>
      <c r="O4" s="29" t="s">
        <v>141</v>
      </c>
      <c r="P4" s="29" t="s">
        <v>142</v>
      </c>
    </row>
    <row r="5" customFormat="false" ht="48" hidden="false" customHeight="true" outlineLevel="0" collapsed="false">
      <c r="A5" s="11" t="s">
        <v>357</v>
      </c>
      <c r="B5" s="11" t="s">
        <v>358</v>
      </c>
      <c r="C5" s="10" t="s">
        <v>359</v>
      </c>
      <c r="D5" s="10" t="s">
        <v>360</v>
      </c>
      <c r="E5" s="10" t="s">
        <v>361</v>
      </c>
      <c r="F5" s="10" t="s">
        <v>362</v>
      </c>
      <c r="G5" s="10" t="s">
        <v>159</v>
      </c>
      <c r="H5" s="18" t="n">
        <v>46311</v>
      </c>
      <c r="I5" s="18" t="n">
        <v>46318</v>
      </c>
      <c r="J5" s="31" t="n">
        <f aca="false">IF(OR(H5="",I5=""),"",I5-H5)</f>
        <v>7</v>
      </c>
      <c r="K5" s="10" t="s">
        <v>363</v>
      </c>
      <c r="L5" s="11" t="s">
        <v>105</v>
      </c>
      <c r="M5" s="11" t="s">
        <v>364</v>
      </c>
      <c r="N5" s="10" t="s">
        <v>365</v>
      </c>
      <c r="O5" s="11" t="s">
        <v>366</v>
      </c>
      <c r="P5" s="18" t="n">
        <v>46275</v>
      </c>
    </row>
    <row r="6" customFormat="false" ht="33.75" hidden="false" customHeight="true" outlineLevel="0" collapsed="false">
      <c r="A6" s="11" t="s">
        <v>265</v>
      </c>
      <c r="B6" s="11" t="s">
        <v>358</v>
      </c>
      <c r="C6" s="10" t="s">
        <v>367</v>
      </c>
      <c r="D6" s="10" t="s">
        <v>368</v>
      </c>
      <c r="E6" s="10" t="s">
        <v>369</v>
      </c>
      <c r="F6" s="10" t="s">
        <v>362</v>
      </c>
      <c r="G6" s="10" t="s">
        <v>159</v>
      </c>
      <c r="H6" s="18" t="n">
        <v>46297</v>
      </c>
      <c r="I6" s="18" t="n">
        <v>46295</v>
      </c>
      <c r="J6" s="31" t="n">
        <f aca="false">IF(OR(H6="",I6=""),"",I6-H6)</f>
        <v>-2</v>
      </c>
      <c r="K6" s="10" t="s">
        <v>370</v>
      </c>
      <c r="L6" s="11" t="s">
        <v>105</v>
      </c>
      <c r="M6" s="11" t="s">
        <v>371</v>
      </c>
      <c r="N6" s="10" t="s">
        <v>372</v>
      </c>
      <c r="O6" s="11" t="s">
        <v>257</v>
      </c>
      <c r="P6" s="18" t="n">
        <v>46275</v>
      </c>
    </row>
    <row r="7" customFormat="false" ht="48" hidden="false" customHeight="true" outlineLevel="0" collapsed="false">
      <c r="A7" s="11" t="s">
        <v>163</v>
      </c>
      <c r="B7" s="11" t="s">
        <v>358</v>
      </c>
      <c r="C7" s="10" t="s">
        <v>373</v>
      </c>
      <c r="D7" s="10" t="s">
        <v>374</v>
      </c>
      <c r="E7" s="10" t="s">
        <v>375</v>
      </c>
      <c r="F7" s="10" t="s">
        <v>362</v>
      </c>
      <c r="G7" s="10" t="s">
        <v>159</v>
      </c>
      <c r="H7" s="18" t="n">
        <v>46325</v>
      </c>
      <c r="I7" s="18" t="n">
        <v>46339</v>
      </c>
      <c r="J7" s="31" t="n">
        <f aca="false">IF(OR(H7="",I7=""),"",I7-H7)</f>
        <v>14</v>
      </c>
      <c r="K7" s="10" t="s">
        <v>376</v>
      </c>
      <c r="L7" s="11" t="s">
        <v>377</v>
      </c>
      <c r="M7" s="11" t="s">
        <v>364</v>
      </c>
      <c r="N7" s="10" t="s">
        <v>378</v>
      </c>
      <c r="O7" s="11" t="s">
        <v>154</v>
      </c>
      <c r="P7" s="18" t="n">
        <v>46275</v>
      </c>
    </row>
    <row r="8" customFormat="false" ht="48" hidden="false" customHeight="true" outlineLevel="0" collapsed="false">
      <c r="A8" s="11" t="s">
        <v>379</v>
      </c>
      <c r="B8" s="11" t="s">
        <v>358</v>
      </c>
      <c r="C8" s="10" t="s">
        <v>380</v>
      </c>
      <c r="D8" s="10" t="s">
        <v>381</v>
      </c>
      <c r="E8" s="10" t="s">
        <v>382</v>
      </c>
      <c r="F8" s="10" t="s">
        <v>362</v>
      </c>
      <c r="G8" s="10" t="s">
        <v>185</v>
      </c>
      <c r="H8" s="18" t="n">
        <v>46304</v>
      </c>
      <c r="I8" s="18" t="n">
        <v>46304</v>
      </c>
      <c r="J8" s="31" t="n">
        <f aca="false">IF(OR(H8="",I8=""),"",I8-H8)</f>
        <v>0</v>
      </c>
      <c r="K8" s="10" t="s">
        <v>383</v>
      </c>
      <c r="L8" s="11" t="s">
        <v>107</v>
      </c>
      <c r="M8" s="11" t="s">
        <v>371</v>
      </c>
      <c r="N8" s="10" t="s">
        <v>384</v>
      </c>
      <c r="O8" s="11" t="s">
        <v>181</v>
      </c>
      <c r="P8" s="18" t="n">
        <v>46275</v>
      </c>
    </row>
    <row r="9" customFormat="false" ht="33.75" hidden="false" customHeight="true" outlineLevel="0" collapsed="false">
      <c r="A9" s="11" t="s">
        <v>289</v>
      </c>
      <c r="B9" s="11" t="s">
        <v>358</v>
      </c>
      <c r="C9" s="10" t="s">
        <v>385</v>
      </c>
      <c r="D9" s="10" t="s">
        <v>386</v>
      </c>
      <c r="E9" s="10" t="s">
        <v>387</v>
      </c>
      <c r="F9" s="10" t="s">
        <v>362</v>
      </c>
      <c r="G9" s="10" t="s">
        <v>148</v>
      </c>
      <c r="H9" s="18" t="n">
        <v>46318</v>
      </c>
      <c r="I9" s="18"/>
      <c r="J9" s="31" t="str">
        <f aca="false">IF(OR(H9="",I9=""),"",I9-H9)</f>
        <v/>
      </c>
      <c r="K9" s="10" t="s">
        <v>388</v>
      </c>
      <c r="L9" s="11" t="s">
        <v>105</v>
      </c>
      <c r="M9" s="11" t="s">
        <v>389</v>
      </c>
      <c r="N9" s="10" t="s">
        <v>390</v>
      </c>
      <c r="O9" s="11" t="s">
        <v>282</v>
      </c>
      <c r="P9" s="18" t="n">
        <v>46275</v>
      </c>
    </row>
    <row r="10" customFormat="false" ht="48" hidden="false" customHeight="true" outlineLevel="0" collapsed="false">
      <c r="A10" s="11" t="s">
        <v>391</v>
      </c>
      <c r="B10" s="11" t="s">
        <v>392</v>
      </c>
      <c r="C10" s="10" t="s">
        <v>393</v>
      </c>
      <c r="D10" s="10" t="s">
        <v>394</v>
      </c>
      <c r="E10" s="10" t="s">
        <v>362</v>
      </c>
      <c r="F10" s="10" t="s">
        <v>395</v>
      </c>
      <c r="G10" s="10" t="s">
        <v>148</v>
      </c>
      <c r="H10" s="18" t="n">
        <v>46353</v>
      </c>
      <c r="I10" s="18" t="n">
        <v>46353</v>
      </c>
      <c r="J10" s="31" t="n">
        <f aca="false">IF(OR(H10="",I10=""),"",I10-H10)</f>
        <v>0</v>
      </c>
      <c r="K10" s="10" t="s">
        <v>396</v>
      </c>
      <c r="L10" s="11" t="s">
        <v>107</v>
      </c>
      <c r="M10" s="11" t="s">
        <v>371</v>
      </c>
      <c r="N10" s="10" t="s">
        <v>397</v>
      </c>
      <c r="O10" s="11"/>
      <c r="P10" s="18" t="n">
        <v>46275</v>
      </c>
    </row>
    <row r="11" customFormat="false" ht="33.75" hidden="false" customHeight="true" outlineLevel="0" collapsed="false">
      <c r="A11" s="11" t="s">
        <v>398</v>
      </c>
      <c r="B11" s="11" t="s">
        <v>358</v>
      </c>
      <c r="C11" s="10" t="s">
        <v>399</v>
      </c>
      <c r="D11" s="10" t="s">
        <v>400</v>
      </c>
      <c r="E11" s="10" t="s">
        <v>401</v>
      </c>
      <c r="F11" s="10" t="s">
        <v>362</v>
      </c>
      <c r="G11" s="10" t="s">
        <v>148</v>
      </c>
      <c r="H11" s="18" t="n">
        <v>46332</v>
      </c>
      <c r="I11" s="18" t="n">
        <v>46367</v>
      </c>
      <c r="J11" s="31" t="n">
        <f aca="false">IF(OR(H11="",I11=""),"",I11-H11)</f>
        <v>35</v>
      </c>
      <c r="K11" s="10" t="s">
        <v>402</v>
      </c>
      <c r="L11" s="11" t="s">
        <v>107</v>
      </c>
      <c r="M11" s="11" t="s">
        <v>403</v>
      </c>
      <c r="N11" s="10" t="s">
        <v>404</v>
      </c>
      <c r="O11" s="11" t="s">
        <v>201</v>
      </c>
      <c r="P11" s="18" t="n">
        <v>46275</v>
      </c>
    </row>
    <row r="12" customFormat="false" ht="19.5" hidden="false" customHeight="true" outlineLevel="0" collapsed="false">
      <c r="A12" s="11"/>
      <c r="B12" s="11"/>
      <c r="C12" s="10"/>
      <c r="D12" s="10"/>
      <c r="E12" s="10"/>
      <c r="F12" s="10"/>
      <c r="G12" s="10"/>
      <c r="H12" s="18"/>
      <c r="I12" s="18"/>
      <c r="J12" s="31" t="str">
        <f aca="false">IF(OR(H12="",I12=""),"",I12-H12)</f>
        <v/>
      </c>
      <c r="K12" s="10"/>
      <c r="L12" s="11"/>
      <c r="M12" s="11"/>
      <c r="N12" s="10"/>
      <c r="O12" s="11"/>
      <c r="P12" s="18"/>
    </row>
    <row r="13" customFormat="false" ht="19.5" hidden="false" customHeight="true" outlineLevel="0" collapsed="false">
      <c r="A13" s="11"/>
      <c r="B13" s="11"/>
      <c r="C13" s="10"/>
      <c r="D13" s="10"/>
      <c r="E13" s="10"/>
      <c r="F13" s="10"/>
      <c r="G13" s="10"/>
      <c r="H13" s="18"/>
      <c r="I13" s="18"/>
      <c r="J13" s="31" t="str">
        <f aca="false">IF(OR(H13="",I13=""),"",I13-H13)</f>
        <v/>
      </c>
      <c r="K13" s="10"/>
      <c r="L13" s="11"/>
      <c r="M13" s="11"/>
      <c r="N13" s="10"/>
      <c r="O13" s="11"/>
      <c r="P13" s="18"/>
    </row>
    <row r="14" customFormat="false" ht="19.5" hidden="false" customHeight="true" outlineLevel="0" collapsed="false">
      <c r="A14" s="11"/>
      <c r="B14" s="11"/>
      <c r="C14" s="10"/>
      <c r="D14" s="10"/>
      <c r="E14" s="10"/>
      <c r="F14" s="10"/>
      <c r="G14" s="10"/>
      <c r="H14" s="18"/>
      <c r="I14" s="18"/>
      <c r="J14" s="31" t="str">
        <f aca="false">IF(OR(H14="",I14=""),"",I14-H14)</f>
        <v/>
      </c>
      <c r="K14" s="10"/>
      <c r="L14" s="11"/>
      <c r="M14" s="11"/>
      <c r="N14" s="10"/>
      <c r="O14" s="11"/>
      <c r="P14" s="18"/>
    </row>
    <row r="15" customFormat="false" ht="19.5" hidden="false" customHeight="true" outlineLevel="0" collapsed="false">
      <c r="A15" s="11"/>
      <c r="B15" s="11"/>
      <c r="C15" s="10"/>
      <c r="D15" s="10"/>
      <c r="E15" s="10"/>
      <c r="F15" s="10"/>
      <c r="G15" s="10"/>
      <c r="H15" s="18"/>
      <c r="I15" s="18"/>
      <c r="J15" s="31" t="str">
        <f aca="false">IF(OR(H15="",I15=""),"",I15-H15)</f>
        <v/>
      </c>
      <c r="K15" s="10"/>
      <c r="L15" s="11"/>
      <c r="M15" s="11"/>
      <c r="N15" s="10"/>
      <c r="O15" s="11"/>
      <c r="P15" s="18"/>
    </row>
    <row r="16" customFormat="false" ht="19.5" hidden="false" customHeight="true" outlineLevel="0" collapsed="false">
      <c r="A16" s="11"/>
      <c r="B16" s="11"/>
      <c r="C16" s="10"/>
      <c r="D16" s="10"/>
      <c r="E16" s="10"/>
      <c r="F16" s="10"/>
      <c r="G16" s="10"/>
      <c r="H16" s="18"/>
      <c r="I16" s="18"/>
      <c r="J16" s="31" t="str">
        <f aca="false">IF(OR(H16="",I16=""),"",I16-H16)</f>
        <v/>
      </c>
      <c r="K16" s="10"/>
      <c r="L16" s="11"/>
      <c r="M16" s="11"/>
      <c r="N16" s="10"/>
      <c r="O16" s="11"/>
      <c r="P16" s="18"/>
    </row>
    <row r="17" customFormat="false" ht="19.5" hidden="false" customHeight="true" outlineLevel="0" collapsed="false">
      <c r="A17" s="11"/>
      <c r="B17" s="11"/>
      <c r="C17" s="10"/>
      <c r="D17" s="10"/>
      <c r="E17" s="10"/>
      <c r="F17" s="10"/>
      <c r="G17" s="10"/>
      <c r="H17" s="18"/>
      <c r="I17" s="18"/>
      <c r="J17" s="31" t="str">
        <f aca="false">IF(OR(H17="",I17=""),"",I17-H17)</f>
        <v/>
      </c>
      <c r="K17" s="10"/>
      <c r="L17" s="11"/>
      <c r="M17" s="11"/>
      <c r="N17" s="10"/>
      <c r="O17" s="11"/>
      <c r="P17" s="18"/>
    </row>
    <row r="18" customFormat="false" ht="19.5" hidden="false" customHeight="true" outlineLevel="0" collapsed="false">
      <c r="A18" s="11"/>
      <c r="B18" s="11"/>
      <c r="C18" s="10"/>
      <c r="D18" s="10"/>
      <c r="E18" s="10"/>
      <c r="F18" s="10"/>
      <c r="G18" s="10"/>
      <c r="H18" s="18"/>
      <c r="I18" s="18"/>
      <c r="J18" s="31" t="str">
        <f aca="false">IF(OR(H18="",I18=""),"",I18-H18)</f>
        <v/>
      </c>
      <c r="K18" s="10"/>
      <c r="L18" s="11"/>
      <c r="M18" s="11"/>
      <c r="N18" s="10"/>
      <c r="O18" s="11"/>
      <c r="P18" s="18"/>
    </row>
    <row r="19" customFormat="false" ht="19.5" hidden="false" customHeight="true" outlineLevel="0" collapsed="false">
      <c r="A19" s="11"/>
      <c r="B19" s="11"/>
      <c r="C19" s="10"/>
      <c r="D19" s="10"/>
      <c r="E19" s="10"/>
      <c r="F19" s="10"/>
      <c r="G19" s="10"/>
      <c r="H19" s="18"/>
      <c r="I19" s="18"/>
      <c r="J19" s="31" t="str">
        <f aca="false">IF(OR(H19="",I19=""),"",I19-H19)</f>
        <v/>
      </c>
      <c r="K19" s="10"/>
      <c r="L19" s="11"/>
      <c r="M19" s="11"/>
      <c r="N19" s="10"/>
      <c r="O19" s="11"/>
      <c r="P19" s="18"/>
    </row>
    <row r="20" customFormat="false" ht="19.5" hidden="false" customHeight="true" outlineLevel="0" collapsed="false">
      <c r="A20" s="11"/>
      <c r="B20" s="11"/>
      <c r="C20" s="10"/>
      <c r="D20" s="10"/>
      <c r="E20" s="10"/>
      <c r="F20" s="10"/>
      <c r="G20" s="10"/>
      <c r="H20" s="18"/>
      <c r="I20" s="18"/>
      <c r="J20" s="31" t="str">
        <f aca="false">IF(OR(H20="",I20=""),"",I20-H20)</f>
        <v/>
      </c>
      <c r="K20" s="10"/>
      <c r="L20" s="11"/>
      <c r="M20" s="11"/>
      <c r="N20" s="10"/>
      <c r="O20" s="11"/>
      <c r="P20" s="18"/>
    </row>
    <row r="21" customFormat="false" ht="19.5" hidden="false" customHeight="true" outlineLevel="0" collapsed="false">
      <c r="A21" s="11"/>
      <c r="B21" s="11"/>
      <c r="C21" s="10"/>
      <c r="D21" s="10"/>
      <c r="E21" s="10"/>
      <c r="F21" s="10"/>
      <c r="G21" s="10"/>
      <c r="H21" s="18"/>
      <c r="I21" s="18"/>
      <c r="J21" s="31" t="str">
        <f aca="false">IF(OR(H21="",I21=""),"",I21-H21)</f>
        <v/>
      </c>
      <c r="K21" s="10"/>
      <c r="L21" s="11"/>
      <c r="M21" s="11"/>
      <c r="N21" s="10"/>
      <c r="O21" s="11"/>
      <c r="P21" s="18"/>
    </row>
    <row r="22" customFormat="false" ht="19.5" hidden="false" customHeight="true" outlineLevel="0" collapsed="false">
      <c r="A22" s="11"/>
      <c r="B22" s="11"/>
      <c r="C22" s="10"/>
      <c r="D22" s="10"/>
      <c r="E22" s="10"/>
      <c r="F22" s="10"/>
      <c r="G22" s="10"/>
      <c r="H22" s="18"/>
      <c r="I22" s="18"/>
      <c r="J22" s="31" t="str">
        <f aca="false">IF(OR(H22="",I22=""),"",I22-H22)</f>
        <v/>
      </c>
      <c r="K22" s="10"/>
      <c r="L22" s="11"/>
      <c r="M22" s="11"/>
      <c r="N22" s="10"/>
      <c r="O22" s="11"/>
      <c r="P22" s="18"/>
    </row>
    <row r="23" customFormat="false" ht="19.5" hidden="false" customHeight="true" outlineLevel="0" collapsed="false">
      <c r="A23" s="11"/>
      <c r="B23" s="11"/>
      <c r="C23" s="10"/>
      <c r="D23" s="10"/>
      <c r="E23" s="10"/>
      <c r="F23" s="10"/>
      <c r="G23" s="10"/>
      <c r="H23" s="18"/>
      <c r="I23" s="18"/>
      <c r="J23" s="31" t="str">
        <f aca="false">IF(OR(H23="",I23=""),"",I23-H23)</f>
        <v/>
      </c>
      <c r="K23" s="10"/>
      <c r="L23" s="11"/>
      <c r="M23" s="11"/>
      <c r="N23" s="10"/>
      <c r="O23" s="11"/>
      <c r="P23" s="18"/>
    </row>
    <row r="24" customFormat="false" ht="19.5" hidden="false" customHeight="true" outlineLevel="0" collapsed="false">
      <c r="A24" s="11"/>
      <c r="B24" s="11"/>
      <c r="C24" s="10"/>
      <c r="D24" s="10"/>
      <c r="E24" s="10"/>
      <c r="F24" s="10"/>
      <c r="G24" s="10"/>
      <c r="H24" s="18"/>
      <c r="I24" s="18"/>
      <c r="J24" s="31" t="str">
        <f aca="false">IF(OR(H24="",I24=""),"",I24-H24)</f>
        <v/>
      </c>
      <c r="K24" s="10"/>
      <c r="L24" s="11"/>
      <c r="M24" s="11"/>
      <c r="N24" s="10"/>
      <c r="O24" s="11"/>
      <c r="P24" s="18"/>
    </row>
    <row r="25" customFormat="false" ht="19.5" hidden="false" customHeight="true" outlineLevel="0" collapsed="false">
      <c r="A25" s="11"/>
      <c r="B25" s="11"/>
      <c r="C25" s="10"/>
      <c r="D25" s="10"/>
      <c r="E25" s="10"/>
      <c r="F25" s="10"/>
      <c r="G25" s="10"/>
      <c r="H25" s="18"/>
      <c r="I25" s="18"/>
      <c r="J25" s="31" t="str">
        <f aca="false">IF(OR(H25="",I25=""),"",I25-H25)</f>
        <v/>
      </c>
      <c r="K25" s="10"/>
      <c r="L25" s="11"/>
      <c r="M25" s="11"/>
      <c r="N25" s="10"/>
      <c r="O25" s="11"/>
      <c r="P25" s="18"/>
    </row>
    <row r="26" customFormat="false" ht="19.5" hidden="false" customHeight="true" outlineLevel="0" collapsed="false">
      <c r="A26" s="11"/>
      <c r="B26" s="11"/>
      <c r="C26" s="10"/>
      <c r="D26" s="10"/>
      <c r="E26" s="10"/>
      <c r="F26" s="10"/>
      <c r="G26" s="10"/>
      <c r="H26" s="18"/>
      <c r="I26" s="18"/>
      <c r="J26" s="31" t="str">
        <f aca="false">IF(OR(H26="",I26=""),"",I26-H26)</f>
        <v/>
      </c>
      <c r="K26" s="10"/>
      <c r="L26" s="11"/>
      <c r="M26" s="11"/>
      <c r="N26" s="10"/>
      <c r="O26" s="11"/>
      <c r="P26" s="18"/>
    </row>
    <row r="27" customFormat="false" ht="19.5" hidden="false" customHeight="true" outlineLevel="0" collapsed="false">
      <c r="A27" s="11"/>
      <c r="B27" s="11"/>
      <c r="C27" s="10"/>
      <c r="D27" s="10"/>
      <c r="E27" s="10"/>
      <c r="F27" s="10"/>
      <c r="G27" s="10"/>
      <c r="H27" s="18"/>
      <c r="I27" s="18"/>
      <c r="J27" s="31" t="str">
        <f aca="false">IF(OR(H27="",I27=""),"",I27-H27)</f>
        <v/>
      </c>
      <c r="K27" s="10"/>
      <c r="L27" s="11"/>
      <c r="M27" s="11"/>
      <c r="N27" s="10"/>
      <c r="O27" s="11"/>
      <c r="P27" s="18"/>
    </row>
    <row r="28" customFormat="false" ht="19.5" hidden="false" customHeight="true" outlineLevel="0" collapsed="false">
      <c r="A28" s="11"/>
      <c r="B28" s="11"/>
      <c r="C28" s="10"/>
      <c r="D28" s="10"/>
      <c r="E28" s="10"/>
      <c r="F28" s="10"/>
      <c r="G28" s="10"/>
      <c r="H28" s="18"/>
      <c r="I28" s="18"/>
      <c r="J28" s="31" t="str">
        <f aca="false">IF(OR(H28="",I28=""),"",I28-H28)</f>
        <v/>
      </c>
      <c r="K28" s="10"/>
      <c r="L28" s="11"/>
      <c r="M28" s="11"/>
      <c r="N28" s="10"/>
      <c r="O28" s="11"/>
      <c r="P28" s="18"/>
    </row>
    <row r="29" customFormat="false" ht="19.5" hidden="false" customHeight="true" outlineLevel="0" collapsed="false">
      <c r="A29" s="11"/>
      <c r="B29" s="11"/>
      <c r="C29" s="10"/>
      <c r="D29" s="10"/>
      <c r="E29" s="10"/>
      <c r="F29" s="10"/>
      <c r="G29" s="10"/>
      <c r="H29" s="18"/>
      <c r="I29" s="18"/>
      <c r="J29" s="31" t="str">
        <f aca="false">IF(OR(H29="",I29=""),"",I29-H29)</f>
        <v/>
      </c>
      <c r="K29" s="10"/>
      <c r="L29" s="11"/>
      <c r="M29" s="11"/>
      <c r="N29" s="10"/>
      <c r="O29" s="11"/>
      <c r="P29" s="18"/>
    </row>
    <row r="30" customFormat="false" ht="19.5" hidden="false" customHeight="true" outlineLevel="0" collapsed="false">
      <c r="A30" s="11"/>
      <c r="B30" s="11"/>
      <c r="C30" s="10"/>
      <c r="D30" s="10"/>
      <c r="E30" s="10"/>
      <c r="F30" s="10"/>
      <c r="G30" s="10"/>
      <c r="H30" s="18"/>
      <c r="I30" s="18"/>
      <c r="J30" s="31" t="str">
        <f aca="false">IF(OR(H30="",I30=""),"",I30-H30)</f>
        <v/>
      </c>
      <c r="K30" s="10"/>
      <c r="L30" s="11"/>
      <c r="M30" s="11"/>
      <c r="N30" s="10"/>
      <c r="O30" s="11"/>
      <c r="P30" s="18"/>
    </row>
    <row r="31" customFormat="false" ht="19.5" hidden="false" customHeight="true" outlineLevel="0" collapsed="false">
      <c r="A31" s="11"/>
      <c r="B31" s="11"/>
      <c r="C31" s="10"/>
      <c r="D31" s="10"/>
      <c r="E31" s="10"/>
      <c r="F31" s="10"/>
      <c r="G31" s="10"/>
      <c r="H31" s="18"/>
      <c r="I31" s="18"/>
      <c r="J31" s="31" t="str">
        <f aca="false">IF(OR(H31="",I31=""),"",I31-H31)</f>
        <v/>
      </c>
      <c r="K31" s="10"/>
      <c r="L31" s="11"/>
      <c r="M31" s="11"/>
      <c r="N31" s="10"/>
      <c r="O31" s="11"/>
      <c r="P31" s="18"/>
    </row>
    <row r="32" customFormat="false" ht="19.5" hidden="false" customHeight="true" outlineLevel="0" collapsed="false">
      <c r="A32" s="11"/>
      <c r="B32" s="11"/>
      <c r="C32" s="10"/>
      <c r="D32" s="10"/>
      <c r="E32" s="10"/>
      <c r="F32" s="10"/>
      <c r="G32" s="10"/>
      <c r="H32" s="18"/>
      <c r="I32" s="18"/>
      <c r="J32" s="31" t="str">
        <f aca="false">IF(OR(H32="",I32=""),"",I32-H32)</f>
        <v/>
      </c>
      <c r="K32" s="10"/>
      <c r="L32" s="11"/>
      <c r="M32" s="11"/>
      <c r="N32" s="10"/>
      <c r="O32" s="11"/>
      <c r="P32" s="18"/>
    </row>
    <row r="33" customFormat="false" ht="19.5" hidden="false" customHeight="true" outlineLevel="0" collapsed="false">
      <c r="A33" s="11"/>
      <c r="B33" s="11"/>
      <c r="C33" s="10"/>
      <c r="D33" s="10"/>
      <c r="E33" s="10"/>
      <c r="F33" s="10"/>
      <c r="G33" s="10"/>
      <c r="H33" s="18"/>
      <c r="I33" s="18"/>
      <c r="J33" s="31" t="str">
        <f aca="false">IF(OR(H33="",I33=""),"",I33-H33)</f>
        <v/>
      </c>
      <c r="K33" s="10"/>
      <c r="L33" s="11"/>
      <c r="M33" s="11"/>
      <c r="N33" s="10"/>
      <c r="O33" s="11"/>
      <c r="P33" s="18"/>
    </row>
    <row r="34" customFormat="false" ht="19.5" hidden="false" customHeight="true" outlineLevel="0" collapsed="false">
      <c r="A34" s="11"/>
      <c r="B34" s="11"/>
      <c r="C34" s="10"/>
      <c r="D34" s="10"/>
      <c r="E34" s="10"/>
      <c r="F34" s="10"/>
      <c r="G34" s="10"/>
      <c r="H34" s="18"/>
      <c r="I34" s="18"/>
      <c r="J34" s="31" t="str">
        <f aca="false">IF(OR(H34="",I34=""),"",I34-H34)</f>
        <v/>
      </c>
      <c r="K34" s="10"/>
      <c r="L34" s="11"/>
      <c r="M34" s="11"/>
      <c r="N34" s="10"/>
      <c r="O34" s="11"/>
      <c r="P34" s="18"/>
    </row>
    <row r="35" customFormat="false" ht="19.5" hidden="false" customHeight="true" outlineLevel="0" collapsed="false">
      <c r="A35" s="11"/>
      <c r="B35" s="11"/>
      <c r="C35" s="10"/>
      <c r="D35" s="10"/>
      <c r="E35" s="10"/>
      <c r="F35" s="10"/>
      <c r="G35" s="10"/>
      <c r="H35" s="18"/>
      <c r="I35" s="18"/>
      <c r="J35" s="31" t="str">
        <f aca="false">IF(OR(H35="",I35=""),"",I35-H35)</f>
        <v/>
      </c>
      <c r="K35" s="10"/>
      <c r="L35" s="11"/>
      <c r="M35" s="11"/>
      <c r="N35" s="10"/>
      <c r="O35" s="11"/>
      <c r="P35" s="18"/>
    </row>
    <row r="36" customFormat="false" ht="19.5" hidden="false" customHeight="true" outlineLevel="0" collapsed="false">
      <c r="A36" s="11"/>
      <c r="B36" s="11"/>
      <c r="C36" s="10"/>
      <c r="D36" s="10"/>
      <c r="E36" s="10"/>
      <c r="F36" s="10"/>
      <c r="G36" s="10"/>
      <c r="H36" s="18"/>
      <c r="I36" s="18"/>
      <c r="J36" s="31" t="str">
        <f aca="false">IF(OR(H36="",I36=""),"",I36-H36)</f>
        <v/>
      </c>
      <c r="K36" s="10"/>
      <c r="L36" s="11"/>
      <c r="M36" s="11"/>
      <c r="N36" s="10"/>
      <c r="O36" s="11"/>
      <c r="P36" s="18"/>
    </row>
    <row r="37" customFormat="false" ht="19.5" hidden="false" customHeight="true" outlineLevel="0" collapsed="false">
      <c r="A37" s="11"/>
      <c r="B37" s="11"/>
      <c r="C37" s="10"/>
      <c r="D37" s="10"/>
      <c r="E37" s="10"/>
      <c r="F37" s="10"/>
      <c r="G37" s="10"/>
      <c r="H37" s="18"/>
      <c r="I37" s="18"/>
      <c r="J37" s="31" t="str">
        <f aca="false">IF(OR(H37="",I37=""),"",I37-H37)</f>
        <v/>
      </c>
      <c r="K37" s="10"/>
      <c r="L37" s="11"/>
      <c r="M37" s="11"/>
      <c r="N37" s="10"/>
      <c r="O37" s="11"/>
      <c r="P37" s="18"/>
    </row>
    <row r="38" customFormat="false" ht="19.5" hidden="false" customHeight="true" outlineLevel="0" collapsed="false">
      <c r="A38" s="11"/>
      <c r="B38" s="11"/>
      <c r="C38" s="10"/>
      <c r="D38" s="10"/>
      <c r="E38" s="10"/>
      <c r="F38" s="10"/>
      <c r="G38" s="10"/>
      <c r="H38" s="18"/>
      <c r="I38" s="18"/>
      <c r="J38" s="31" t="str">
        <f aca="false">IF(OR(H38="",I38=""),"",I38-H38)</f>
        <v/>
      </c>
      <c r="K38" s="10"/>
      <c r="L38" s="11"/>
      <c r="M38" s="11"/>
      <c r="N38" s="10"/>
      <c r="O38" s="11"/>
      <c r="P38" s="18"/>
    </row>
    <row r="39" customFormat="false" ht="19.5" hidden="false" customHeight="true" outlineLevel="0" collapsed="false">
      <c r="A39" s="11"/>
      <c r="B39" s="11"/>
      <c r="C39" s="10"/>
      <c r="D39" s="10"/>
      <c r="E39" s="10"/>
      <c r="F39" s="10"/>
      <c r="G39" s="10"/>
      <c r="H39" s="18"/>
      <c r="I39" s="18"/>
      <c r="J39" s="31" t="str">
        <f aca="false">IF(OR(H39="",I39=""),"",I39-H39)</f>
        <v/>
      </c>
      <c r="K39" s="10"/>
      <c r="L39" s="11"/>
      <c r="M39" s="11"/>
      <c r="N39" s="10"/>
      <c r="O39" s="11"/>
      <c r="P39" s="18"/>
    </row>
    <row r="40" customFormat="false" ht="19.5" hidden="false" customHeight="true" outlineLevel="0" collapsed="false">
      <c r="A40" s="11"/>
      <c r="B40" s="11"/>
      <c r="C40" s="10"/>
      <c r="D40" s="10"/>
      <c r="E40" s="10"/>
      <c r="F40" s="10"/>
      <c r="G40" s="10"/>
      <c r="H40" s="18"/>
      <c r="I40" s="18"/>
      <c r="J40" s="31" t="str">
        <f aca="false">IF(OR(H40="",I40=""),"",I40-H40)</f>
        <v/>
      </c>
      <c r="K40" s="10"/>
      <c r="L40" s="11"/>
      <c r="M40" s="11"/>
      <c r="N40" s="10"/>
      <c r="O40" s="11"/>
      <c r="P40" s="18"/>
    </row>
    <row r="41" customFormat="false" ht="19.5" hidden="false" customHeight="true" outlineLevel="0" collapsed="false">
      <c r="A41" s="11"/>
      <c r="B41" s="11"/>
      <c r="C41" s="10"/>
      <c r="D41" s="10"/>
      <c r="E41" s="10"/>
      <c r="F41" s="10"/>
      <c r="G41" s="10"/>
      <c r="H41" s="18"/>
      <c r="I41" s="18"/>
      <c r="J41" s="31" t="str">
        <f aca="false">IF(OR(H41="",I41=""),"",I41-H41)</f>
        <v/>
      </c>
      <c r="K41" s="10"/>
      <c r="L41" s="11"/>
      <c r="M41" s="11"/>
      <c r="N41" s="10"/>
      <c r="O41" s="11"/>
      <c r="P41" s="18"/>
    </row>
    <row r="42" customFormat="false" ht="19.5" hidden="false" customHeight="true" outlineLevel="0" collapsed="false">
      <c r="A42" s="11"/>
      <c r="B42" s="11"/>
      <c r="C42" s="10"/>
      <c r="D42" s="10"/>
      <c r="E42" s="10"/>
      <c r="F42" s="10"/>
      <c r="G42" s="10"/>
      <c r="H42" s="18"/>
      <c r="I42" s="18"/>
      <c r="J42" s="31" t="str">
        <f aca="false">IF(OR(H42="",I42=""),"",I42-H42)</f>
        <v/>
      </c>
      <c r="K42" s="10"/>
      <c r="L42" s="11"/>
      <c r="M42" s="11"/>
      <c r="N42" s="10"/>
      <c r="O42" s="11"/>
      <c r="P42" s="18"/>
    </row>
    <row r="43" customFormat="false" ht="19.5" hidden="false" customHeight="true" outlineLevel="0" collapsed="false">
      <c r="A43" s="11"/>
      <c r="B43" s="11"/>
      <c r="C43" s="10"/>
      <c r="D43" s="10"/>
      <c r="E43" s="10"/>
      <c r="F43" s="10"/>
      <c r="G43" s="10"/>
      <c r="H43" s="18"/>
      <c r="I43" s="18"/>
      <c r="J43" s="31" t="str">
        <f aca="false">IF(OR(H43="",I43=""),"",I43-H43)</f>
        <v/>
      </c>
      <c r="K43" s="10"/>
      <c r="L43" s="11"/>
      <c r="M43" s="11"/>
      <c r="N43" s="10"/>
      <c r="O43" s="11"/>
      <c r="P43" s="18"/>
    </row>
    <row r="44" customFormat="false" ht="19.5" hidden="false" customHeight="true" outlineLevel="0" collapsed="false">
      <c r="A44" s="11"/>
      <c r="B44" s="11"/>
      <c r="C44" s="10"/>
      <c r="D44" s="10"/>
      <c r="E44" s="10"/>
      <c r="F44" s="10"/>
      <c r="G44" s="10"/>
      <c r="H44" s="18"/>
      <c r="I44" s="18"/>
      <c r="J44" s="31" t="str">
        <f aca="false">IF(OR(H44="",I44=""),"",I44-H44)</f>
        <v/>
      </c>
      <c r="K44" s="10"/>
      <c r="L44" s="11"/>
      <c r="M44" s="11"/>
      <c r="N44" s="10"/>
      <c r="O44" s="11"/>
      <c r="P44" s="18"/>
    </row>
    <row r="45" customFormat="false" ht="19.5" hidden="false" customHeight="true" outlineLevel="0" collapsed="false">
      <c r="A45" s="11"/>
      <c r="B45" s="11"/>
      <c r="C45" s="10"/>
      <c r="D45" s="10"/>
      <c r="E45" s="10"/>
      <c r="F45" s="10"/>
      <c r="G45" s="10"/>
      <c r="H45" s="18"/>
      <c r="I45" s="18"/>
      <c r="J45" s="31" t="str">
        <f aca="false">IF(OR(H45="",I45=""),"",I45-H45)</f>
        <v/>
      </c>
      <c r="K45" s="10"/>
      <c r="L45" s="11"/>
      <c r="M45" s="11"/>
      <c r="N45" s="10"/>
      <c r="O45" s="11"/>
      <c r="P45" s="18"/>
    </row>
    <row r="46" customFormat="false" ht="19.5" hidden="false" customHeight="true" outlineLevel="0" collapsed="false">
      <c r="A46" s="11"/>
      <c r="B46" s="11"/>
      <c r="C46" s="10"/>
      <c r="D46" s="10"/>
      <c r="E46" s="10"/>
      <c r="F46" s="10"/>
      <c r="G46" s="10"/>
      <c r="H46" s="18"/>
      <c r="I46" s="18"/>
      <c r="J46" s="31" t="str">
        <f aca="false">IF(OR(H46="",I46=""),"",I46-H46)</f>
        <v/>
      </c>
      <c r="K46" s="10"/>
      <c r="L46" s="11"/>
      <c r="M46" s="11"/>
      <c r="N46" s="10"/>
      <c r="O46" s="11"/>
      <c r="P46" s="18"/>
    </row>
    <row r="47" customFormat="false" ht="19.5" hidden="false" customHeight="true" outlineLevel="0" collapsed="false">
      <c r="A47" s="11"/>
      <c r="B47" s="11"/>
      <c r="C47" s="10"/>
      <c r="D47" s="10"/>
      <c r="E47" s="10"/>
      <c r="F47" s="10"/>
      <c r="G47" s="10"/>
      <c r="H47" s="18"/>
      <c r="I47" s="18"/>
      <c r="J47" s="31" t="str">
        <f aca="false">IF(OR(H47="",I47=""),"",I47-H47)</f>
        <v/>
      </c>
      <c r="K47" s="10"/>
      <c r="L47" s="11"/>
      <c r="M47" s="11"/>
      <c r="N47" s="10"/>
      <c r="O47" s="11"/>
      <c r="P47" s="18"/>
    </row>
    <row r="48" customFormat="false" ht="19.5" hidden="false" customHeight="true" outlineLevel="0" collapsed="false">
      <c r="A48" s="11"/>
      <c r="B48" s="11"/>
      <c r="C48" s="10"/>
      <c r="D48" s="10"/>
      <c r="E48" s="10"/>
      <c r="F48" s="10"/>
      <c r="G48" s="10"/>
      <c r="H48" s="18"/>
      <c r="I48" s="18"/>
      <c r="J48" s="31" t="str">
        <f aca="false">IF(OR(H48="",I48=""),"",I48-H48)</f>
        <v/>
      </c>
      <c r="K48" s="10"/>
      <c r="L48" s="11"/>
      <c r="M48" s="11"/>
      <c r="N48" s="10"/>
      <c r="O48" s="11"/>
      <c r="P48" s="18"/>
    </row>
    <row r="49" customFormat="false" ht="19.5" hidden="false" customHeight="true" outlineLevel="0" collapsed="false">
      <c r="A49" s="11"/>
      <c r="B49" s="11"/>
      <c r="C49" s="10"/>
      <c r="D49" s="10"/>
      <c r="E49" s="10"/>
      <c r="F49" s="10"/>
      <c r="G49" s="10"/>
      <c r="H49" s="18"/>
      <c r="I49" s="18"/>
      <c r="J49" s="31" t="str">
        <f aca="false">IF(OR(H49="",I49=""),"",I49-H49)</f>
        <v/>
      </c>
      <c r="K49" s="10"/>
      <c r="L49" s="11"/>
      <c r="M49" s="11"/>
      <c r="N49" s="10"/>
      <c r="O49" s="11"/>
      <c r="P49" s="18"/>
    </row>
    <row r="50" customFormat="false" ht="19.5" hidden="false" customHeight="true" outlineLevel="0" collapsed="false">
      <c r="A50" s="11"/>
      <c r="B50" s="11"/>
      <c r="C50" s="10"/>
      <c r="D50" s="10"/>
      <c r="E50" s="10"/>
      <c r="F50" s="10"/>
      <c r="G50" s="10"/>
      <c r="H50" s="18"/>
      <c r="I50" s="18"/>
      <c r="J50" s="31" t="str">
        <f aca="false">IF(OR(H50="",I50=""),"",I50-H50)</f>
        <v/>
      </c>
      <c r="K50" s="10"/>
      <c r="L50" s="11"/>
      <c r="M50" s="11"/>
      <c r="N50" s="10"/>
      <c r="O50" s="11"/>
      <c r="P50" s="18"/>
    </row>
    <row r="51" customFormat="false" ht="19.5" hidden="false" customHeight="true" outlineLevel="0" collapsed="false">
      <c r="A51" s="11"/>
      <c r="B51" s="11"/>
      <c r="C51" s="10"/>
      <c r="D51" s="10"/>
      <c r="E51" s="10"/>
      <c r="F51" s="10"/>
      <c r="G51" s="10"/>
      <c r="H51" s="18"/>
      <c r="I51" s="18"/>
      <c r="J51" s="31" t="str">
        <f aca="false">IF(OR(H51="",I51=""),"",I51-H51)</f>
        <v/>
      </c>
      <c r="K51" s="10"/>
      <c r="L51" s="11"/>
      <c r="M51" s="11"/>
      <c r="N51" s="10"/>
      <c r="O51" s="11"/>
      <c r="P51" s="18"/>
    </row>
    <row r="52" customFormat="false" ht="19.5" hidden="false" customHeight="true" outlineLevel="0" collapsed="false">
      <c r="A52" s="11"/>
      <c r="B52" s="11"/>
      <c r="C52" s="10"/>
      <c r="D52" s="10"/>
      <c r="E52" s="10"/>
      <c r="F52" s="10"/>
      <c r="G52" s="10"/>
      <c r="H52" s="18"/>
      <c r="I52" s="18"/>
      <c r="J52" s="31" t="str">
        <f aca="false">IF(OR(H52="",I52=""),"",I52-H52)</f>
        <v/>
      </c>
      <c r="K52" s="10"/>
      <c r="L52" s="11"/>
      <c r="M52" s="11"/>
      <c r="N52" s="10"/>
      <c r="O52" s="11"/>
      <c r="P52" s="18"/>
    </row>
    <row r="53" customFormat="false" ht="19.5" hidden="false" customHeight="true" outlineLevel="0" collapsed="false">
      <c r="A53" s="11"/>
      <c r="B53" s="11"/>
      <c r="C53" s="10"/>
      <c r="D53" s="10"/>
      <c r="E53" s="10"/>
      <c r="F53" s="10"/>
      <c r="G53" s="10"/>
      <c r="H53" s="18"/>
      <c r="I53" s="18"/>
      <c r="J53" s="31" t="str">
        <f aca="false">IF(OR(H53="",I53=""),"",I53-H53)</f>
        <v/>
      </c>
      <c r="K53" s="10"/>
      <c r="L53" s="11"/>
      <c r="M53" s="11"/>
      <c r="N53" s="10"/>
      <c r="O53" s="11"/>
      <c r="P53" s="18"/>
    </row>
    <row r="54" customFormat="false" ht="19.5" hidden="false" customHeight="true" outlineLevel="0" collapsed="false">
      <c r="A54" s="11"/>
      <c r="B54" s="11"/>
      <c r="C54" s="10"/>
      <c r="D54" s="10"/>
      <c r="E54" s="10"/>
      <c r="F54" s="10"/>
      <c r="G54" s="10"/>
      <c r="H54" s="18"/>
      <c r="I54" s="18"/>
      <c r="J54" s="31" t="str">
        <f aca="false">IF(OR(H54="",I54=""),"",I54-H54)</f>
        <v/>
      </c>
      <c r="K54" s="10"/>
      <c r="L54" s="11"/>
      <c r="M54" s="11"/>
      <c r="N54" s="10"/>
      <c r="O54" s="11"/>
      <c r="P54" s="18"/>
    </row>
  </sheetData>
  <autoFilter ref="A4:P54"/>
  <conditionalFormatting sqref="M5:M54">
    <cfRule type="cellIs" priority="2" operator="equal" aboveAverage="0" equalAverage="0" bottom="0" percent="0" rank="0" text="" dxfId="0">
      <formula>"Late"</formula>
    </cfRule>
    <cfRule type="cellIs" priority="3" operator="equal" aboveAverage="0" equalAverage="0" bottom="0" percent="0" rank="0" text="" dxfId="1">
      <formula>"At Risk"</formula>
    </cfRule>
    <cfRule type="cellIs" priority="4" operator="equal" aboveAverage="0" equalAverage="0" bottom="0" percent="0" rank="0" text="" dxfId="2">
      <formula>"On Track"</formula>
    </cfRule>
    <cfRule type="cellIs" priority="5" operator="equal" aboveAverage="0" equalAverage="0" bottom="0" percent="0" rank="0" text="" dxfId="2">
      <formula>"Delivered"</formula>
    </cfRule>
  </conditionalFormatting>
  <conditionalFormatting sqref="L5:L54">
    <cfRule type="cellIs" priority="6" operator="equal" aboveAverage="0" equalAverage="0" bottom="0" percent="0" rank="0" text="" dxfId="0">
      <formula>"Critical"</formula>
    </cfRule>
    <cfRule type="cellIs" priority="7" operator="equal" aboveAverage="0" equalAverage="0" bottom="0" percent="0" rank="0" text="" dxfId="0">
      <formula>"High"</formula>
    </cfRule>
    <cfRule type="cellIs" priority="8" operator="equal" aboveAverage="0" equalAverage="0" bottom="0" percent="0" rank="0" text="" dxfId="1">
      <formula>"Medium"</formula>
    </cfRule>
    <cfRule type="cellIs" priority="9" operator="equal" aboveAverage="0" equalAverage="0" bottom="0" percent="0" rank="0" text="" dxfId="2">
      <formula>"Low"</formula>
    </cfRule>
  </conditionalFormatting>
  <conditionalFormatting sqref="J5:J54">
    <cfRule type="cellIs" priority="10" operator="greaterThan" aboveAverage="0" equalAverage="0" bottom="0" percent="0" rank="0" text="" dxfId="0">
      <formula>0</formula>
    </cfRule>
  </conditionalFormatting>
  <dataValidations count="3">
    <dataValidation allowBlank="true" error="Please pick a value from the list." errorStyle="stop" errorTitle="Invalid entry" operator="between" showDropDown="false" showErrorMessage="false" showInputMessage="false" sqref="B5:B54" type="list">
      <formula1>"Inbound,Outbound"</formula1>
      <formula2>0</formula2>
    </dataValidation>
    <dataValidation allowBlank="true" error="Please pick a value from the list." errorStyle="stop" errorTitle="Invalid entry" operator="between" showDropDown="false" showErrorMessage="false" showInputMessage="false" sqref="L5:L54" type="list">
      <formula1>"Critical,High,Medium,Low"</formula1>
      <formula2>0</formula2>
    </dataValidation>
    <dataValidation allowBlank="true" error="Please pick a value from the list." errorStyle="stop" errorTitle="Invalid entry" operator="between" showDropDown="false" showErrorMessage="false" showInputMessage="false" sqref="M5:M54" type="list">
      <formula1>"Not Started,On Track,At Risk,Late,Delivered"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2026-09-10T14:24:29Z</dcterms:created>
  <dc:creator>openpyxl</dc:creator>
  <dc:description/>
  <dc:language>en-US</dc:language>
  <cp:lastModifiedBy/>
  <dcterms:modified xsi:type="dcterms:W3CDTF">2026-09-10T14:24:30Z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