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Dashboard" sheetId="2" state="visible" r:id="rId4"/>
    <sheet name="Assumptions" sheetId="3" state="visible" r:id="rId5"/>
    <sheet name="Financial Model" sheetId="4" state="visible" r:id="rId6"/>
    <sheet name="Merchant Value" sheetId="5" state="visible" r:id="rId7"/>
    <sheet name="Segments" sheetId="6" state="visible" r:id="rId8"/>
    <sheet name="Rollout Plan" sheetId="7" state="visible" r:id="rId9"/>
    <sheet name="Messaging &amp; Enablement" sheetId="8" state="visible" r:id="rId10"/>
    <sheet name="Launch Readiness" sheetId="9" state="visible" r:id="rId11"/>
  </sheets>
  <definedNames>
    <definedName function="false" hidden="true" localSheetId="8" name="_xlnm._FilterDatabase" vbProcedure="false">'Launch Readiness'!$A$4:$J$23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<sst xmlns="http://schemas.openxmlformats.org/spreadsheetml/2006/main" count="792" uniqueCount="542">
  <si>
    <t xml:space="preserve">Business Case &amp; Go-to-Market Plan</t>
  </si>
  <si>
    <t xml:space="preserve">Merchant Payment Operations &amp; Dispute Hub</t>
  </si>
  <si>
    <t xml:space="preserve">Document</t>
  </si>
  <si>
    <t xml:space="preserve">Three-year business case, merchant value and go-to-market (GTM) rollout plan</t>
  </si>
  <si>
    <t xml:space="preserve">Version</t>
  </si>
  <si>
    <t xml:space="preserve">1.0</t>
  </si>
  <si>
    <t xml:space="preserve">Reporting date</t>
  </si>
  <si>
    <t xml:space="preserve">Prepared by</t>
  </si>
  <si>
    <t xml:space="preserve">Bhawna, Product Owner</t>
  </si>
  <si>
    <t xml:space="preserve">Decision requested</t>
  </si>
  <si>
    <t xml:space="preserve">Endorse the base-case investment and the pilot-led rollout; confirm how ops capacity savings are treated (LR-17)</t>
  </si>
  <si>
    <t xml:space="preserve">Companion documents</t>
  </si>
  <si>
    <t xml:space="preserve">RAID_Log, Change_Log, Product_Backlog, RTM and KPI_Definitions workbooks (IDs referenced throughout)</t>
  </si>
  <si>
    <t xml:space="preserve">Project type</t>
  </si>
  <si>
    <t xml:space="preserve">Simulation / portfolio project prepared to demonstrate Product Owner practice. Not an actual client system; all volumes, costs, rates and dates are illustrative.</t>
  </si>
  <si>
    <t xml:space="preserve">Purpose</t>
  </si>
  <si>
    <t xml:space="preserve">Sets out why the Dispute Hub is worth funding and how it will reach merchants. The business case counts only benefits to the provider (lower ops and servicing cost, retained merchants, fewer write-offs). Money recovered for merchants is shown separately as merchant value, because it supports adoption and messaging but isn't provider cash.</t>
  </si>
  <si>
    <t xml:space="preserve">How the model works</t>
  </si>
  <si>
    <t xml:space="preserve">Topic</t>
  </si>
  <si>
    <t xml:space="preserve">Approach</t>
  </si>
  <si>
    <t xml:space="preserve">Scenarios</t>
  </si>
  <si>
    <t xml:space="preserve">Conservative, Base and Optimistic are calculated side by side from the Assumptions tab. No scenario switch is needed.</t>
  </si>
  <si>
    <t xml:space="preserve">Timeline</t>
  </si>
  <si>
    <t xml:space="preserve">Year 0 is 2026 (build and go-live on 11-Dec-2026). Years 1–3 are 2027–2029. Benefits start in Year 1 as merchants adopt the portal.</t>
  </si>
  <si>
    <t xml:space="preserve">Adoption driver</t>
  </si>
  <si>
    <t xml:space="preserve">Benefits scale with portal evidence share (KPI-06), which grows as the rollout waves enable more of the dispute volume.</t>
  </si>
  <si>
    <t xml:space="preserve">Hard vs soft benefits</t>
  </si>
  <si>
    <t xml:space="preserve">Hard: ops handling time (cashable share only) and servicing contacts. Soft: retained merchant revenue and reduced write-offs, discounted by a confidence factor.</t>
  </si>
  <si>
    <t xml:space="preserve">Metrics</t>
  </si>
  <si>
    <t xml:space="preserve">NPV at the discount rate, three-year ROI on total cost, and payback measured in years after go-live.</t>
  </si>
  <si>
    <t xml:space="preserve">Color conventions</t>
  </si>
  <si>
    <t xml:space="preserve">Blue text on yellow: inputs you can change (Assumptions, Segments, Rollout Plan).</t>
  </si>
  <si>
    <t xml:space="preserve">Black text: calculations.</t>
  </si>
  <si>
    <t xml:space="preserve">Green text: values pulled from another tab.</t>
  </si>
  <si>
    <t xml:space="preserve">How to maintain</t>
  </si>
  <si>
    <t xml:space="preserve">1. Replace illustrative inputs with validated figures (for example 12 months of dispute history once A-06 is confirmed).</t>
  </si>
  <si>
    <t xml:space="preserve">2. Re-run the business case at each rollout gate using actual KPI results from the KPI Definitions workbook.</t>
  </si>
  <si>
    <t xml:space="preserve">3. Keep one-time costs aligned with the Change Log contingency and approved change costs.</t>
  </si>
  <si>
    <t xml:space="preserve">4. Update Launch Readiness weekly until the pilot go/no-go; update Rollout Plan dates if gates move.</t>
  </si>
  <si>
    <t xml:space="preserve">Version history</t>
  </si>
  <si>
    <t xml:space="preserve">Date</t>
  </si>
  <si>
    <t xml:space="preserve">Author</t>
  </si>
  <si>
    <t xml:space="preserve">Change summary</t>
  </si>
  <si>
    <t xml:space="preserve">Bhawna</t>
  </si>
  <si>
    <t xml:space="preserve">Initial business case with three scenarios, merchant value, segment prioritization, rollout plan and launch readiness.</t>
  </si>
  <si>
    <t xml:space="preserve">Business Case &amp; GTM Dashboard</t>
  </si>
  <si>
    <t xml:space="preserve">Merchant Payment Operations &amp; Dispute Hub · Simulation project · All figures illustrative and calculated from the model</t>
  </si>
  <si>
    <t xml:space="preserve">Investment summary by scenario</t>
  </si>
  <si>
    <t xml:space="preserve">Measure</t>
  </si>
  <si>
    <t xml:space="preserve">Conservative</t>
  </si>
  <si>
    <t xml:space="preserve">Base</t>
  </si>
  <si>
    <t xml:space="preserve">Optimistic</t>
  </si>
  <si>
    <t xml:space="preserve">NPV (3 years)</t>
  </si>
  <si>
    <t xml:space="preserve">3-year ROI</t>
  </si>
  <si>
    <t xml:space="preserve">Payback (years after go-live)</t>
  </si>
  <si>
    <t xml:space="preserve">One-time investment (2026)</t>
  </si>
  <si>
    <t xml:space="preserve">Year 3 total benefits</t>
  </si>
  <si>
    <t xml:space="preserve">Year 3 net cash flow</t>
  </si>
  <si>
    <t xml:space="preserve">Share of benefits that are hard</t>
  </si>
  <si>
    <t xml:space="preserve">Conservative combines lower adoption, smaller time savings and a lower cashable share. The case depends most on adoption and how released ops capacity is treated (LR-17).</t>
  </si>
  <si>
    <t xml:space="preserve">Base case: annual benefits, costs and cumulative cash flow</t>
  </si>
  <si>
    <t xml:space="preserve">2026 (Y0)</t>
  </si>
  <si>
    <t xml:space="preserve">2027 (Y1)</t>
  </si>
  <si>
    <t xml:space="preserve">2028 (Y2)</t>
  </si>
  <si>
    <t xml:space="preserve">2029 (Y3)</t>
  </si>
  <si>
    <t xml:space="preserve">Total benefits</t>
  </si>
  <si>
    <t xml:space="preserve">Total costs</t>
  </si>
  <si>
    <t xml:space="preserve">Net cash flow</t>
  </si>
  <si>
    <t xml:space="preserve">Cumulative net cash flow</t>
  </si>
  <si>
    <t xml:space="preserve">Base case: 3-year benefits by source</t>
  </si>
  <si>
    <t xml:space="preserve">Benefit</t>
  </si>
  <si>
    <t xml:space="preserve">Type</t>
  </si>
  <si>
    <t xml:space="preserve">3-year total</t>
  </si>
  <si>
    <t xml:space="preserve">Share</t>
  </si>
  <si>
    <t xml:space="preserve">Ops handling time released (cashable)</t>
  </si>
  <si>
    <t xml:space="preserve">Hard</t>
  </si>
  <si>
    <t xml:space="preserve">Fewer settlement servicing contacts</t>
  </si>
  <si>
    <t xml:space="preserve">Revenue retained (lower attrition)</t>
  </si>
  <si>
    <t xml:space="preserve">Soft</t>
  </si>
  <si>
    <t xml:space="preserve">Lower chargeback write-offs</t>
  </si>
  <si>
    <t xml:space="preserve">Merchant value per year at Year 3 (not in NPV)</t>
  </si>
  <si>
    <t xml:space="preserve">Additional value recovered for merchants</t>
  </si>
  <si>
    <t xml:space="preserve">Losses avoided from fewer missed deadlines</t>
  </si>
  <si>
    <t xml:space="preserve">Total merchant value</t>
  </si>
  <si>
    <t xml:space="preserve">Go-to-market rollout</t>
  </si>
  <si>
    <t xml:space="preserve">Phase</t>
  </si>
  <si>
    <t xml:space="preserve">Start</t>
  </si>
  <si>
    <t xml:space="preserve">End</t>
  </si>
  <si>
    <t xml:space="preserve">Merchants added</t>
  </si>
  <si>
    <t xml:space="preserve">Cumulative merchants</t>
  </si>
  <si>
    <t xml:space="preserve">Dispute volume enabled</t>
  </si>
  <si>
    <t xml:space="preserve">Top-ranked segment</t>
  </si>
  <si>
    <t xml:space="preserve">Launch readiness</t>
  </si>
  <si>
    <t xml:space="preserve">Go-live</t>
  </si>
  <si>
    <t xml:space="preserve">Pilot</t>
  </si>
  <si>
    <t xml:space="preserve">Wave 1</t>
  </si>
  <si>
    <t xml:space="preserve">All items</t>
  </si>
  <si>
    <t xml:space="preserve">Items</t>
  </si>
  <si>
    <t xml:space="preserve">Done</t>
  </si>
  <si>
    <t xml:space="preserve">At risk or blocked</t>
  </si>
  <si>
    <t xml:space="preserve">Critical items not done</t>
  </si>
  <si>
    <t xml:space="preserve">% done</t>
  </si>
  <si>
    <t xml:space="preserve">Decisions requested</t>
  </si>
  <si>
    <t xml:space="preserve">1. Endorse the base-case investment, noting NPV turns negative in the conservative scenario.</t>
  </si>
  <si>
    <t xml:space="preserve">2. Agree how released ops capacity is treated (cashable vs redeployed) before Wave 1 (LR-17).</t>
  </si>
  <si>
    <t xml:space="preserve">3. Approve the pilot-led rollout and its KPI exit gates as the go / no-go criteria for each wave.</t>
  </si>
  <si>
    <t xml:space="preserve">4. Unblock pilot measurement: approve the analytics tracking plan (I-06) and the outcome definitions (CR-05).</t>
  </si>
  <si>
    <t xml:space="preserve">Assumptions</t>
  </si>
  <si>
    <t xml:space="preserve">Merchant Payment Operations &amp; Dispute Hub · Simulation project · All figures illustrative</t>
  </si>
  <si>
    <t xml:space="preserve">Change blue inputs only. Each scenario column feeds the matching block on the Financial Model tab.</t>
  </si>
  <si>
    <t xml:space="preserve">ID</t>
  </si>
  <si>
    <t xml:space="preserve">Assumption</t>
  </si>
  <si>
    <t xml:space="preserve">Unit</t>
  </si>
  <si>
    <t xml:space="preserve">Source / rationale</t>
  </si>
  <si>
    <t xml:space="preserve">Linked item</t>
  </si>
  <si>
    <t xml:space="preserve">General</t>
  </si>
  <si>
    <t xml:space="preserve">BC-01</t>
  </si>
  <si>
    <t xml:space="preserve">Discount rate</t>
  </si>
  <si>
    <t xml:space="preserve">%</t>
  </si>
  <si>
    <t xml:space="preserve">Illustrative cost of capital; confirm with client finance.</t>
  </si>
  <si>
    <t xml:space="preserve">One-time investment</t>
  </si>
  <si>
    <t xml:space="preserve">BC-02</t>
  </si>
  <si>
    <t xml:space="preserve">Blended delivery cost per FTE per week</t>
  </si>
  <si>
    <t xml:space="preserve">$</t>
  </si>
  <si>
    <t xml:space="preserve">Illustrative blended rate for a mixed onshore and offshore team.</t>
  </si>
  <si>
    <t xml:space="preserve">BC-03</t>
  </si>
  <si>
    <t xml:space="preserve">Delivery team size</t>
  </si>
  <si>
    <t xml:space="preserve">FTE</t>
  </si>
  <si>
    <t xml:space="preserve">Product Owner, BA, tech lead, three squads, QA and part-time UX.</t>
  </si>
  <si>
    <t xml:space="preserve">Product Backlog</t>
  </si>
  <si>
    <t xml:space="preserve">BC-04</t>
  </si>
  <si>
    <t xml:space="preserve">Build duration</t>
  </si>
  <si>
    <t xml:space="preserve">weeks</t>
  </si>
  <si>
    <t xml:space="preserve">Ten two-week sprints (Sprint Plan).</t>
  </si>
  <si>
    <t xml:space="preserve">BC-05</t>
  </si>
  <si>
    <t xml:space="preserve">Change contingency</t>
  </si>
  <si>
    <t xml:space="preserve">Cost contingency agreed at baseline.</t>
  </si>
  <si>
    <t xml:space="preserve">Change Log</t>
  </si>
  <si>
    <t xml:space="preserve">BC-06</t>
  </si>
  <si>
    <t xml:space="preserve">Penetration test</t>
  </si>
  <si>
    <t xml:space="preserve">Independent test before go-live.</t>
  </si>
  <si>
    <t xml:space="preserve">D-03, BR-17</t>
  </si>
  <si>
    <t xml:space="preserve">BC-07</t>
  </si>
  <si>
    <t xml:space="preserve">Accessibility audit</t>
  </si>
  <si>
    <t xml:space="preserve">WCAG 2.1 AA audit and retest.</t>
  </si>
  <si>
    <t xml:space="preserve">R-10, BR-15</t>
  </si>
  <si>
    <t xml:space="preserve">BC-08</t>
  </si>
  <si>
    <t xml:space="preserve">Pilot onboarding, training and communications (Year 1)</t>
  </si>
  <si>
    <t xml:space="preserve">White-glove onboarding for 10 pilot merchants and launch materials.</t>
  </si>
  <si>
    <t xml:space="preserve">LR-10, LR-11</t>
  </si>
  <si>
    <t xml:space="preserve">Annual run costs</t>
  </si>
  <si>
    <t xml:space="preserve">BC-09</t>
  </si>
  <si>
    <t xml:space="preserve">Hosting and document storage</t>
  </si>
  <si>
    <t xml:space="preserve">$ / year</t>
  </si>
  <si>
    <t xml:space="preserve">Cloud hosting, storage and backups.</t>
  </si>
  <si>
    <t xml:space="preserve">BC-10</t>
  </si>
  <si>
    <t xml:space="preserve">Card-number redaction service</t>
  </si>
  <si>
    <t xml:space="preserve">Usage-based pricing at forecast volume.</t>
  </si>
  <si>
    <t xml:space="preserve">CR-03</t>
  </si>
  <si>
    <t xml:space="preserve">BC-11</t>
  </si>
  <si>
    <t xml:space="preserve">Analytics and BI licenses</t>
  </si>
  <si>
    <t xml:space="preserve">Amplitude and Power BI seats.</t>
  </si>
  <si>
    <t xml:space="preserve">KPI Definitions</t>
  </si>
  <si>
    <t xml:space="preserve">BC-12</t>
  </si>
  <si>
    <t xml:space="preserve">Run team for support and enhancements</t>
  </si>
  <si>
    <t xml:space="preserve">Retained product and engineering capacity after launch.</t>
  </si>
  <si>
    <t xml:space="preserve">BC-13</t>
  </si>
  <si>
    <t xml:space="preserve">Cost per run-team FTE</t>
  </si>
  <si>
    <t xml:space="preserve">Illustrative fully loaded cost.</t>
  </si>
  <si>
    <t xml:space="preserve">Dispute ops efficiency</t>
  </si>
  <si>
    <t xml:space="preserve">BC-14</t>
  </si>
  <si>
    <t xml:space="preserve">Disputes handled per year</t>
  </si>
  <si>
    <t xml:space="preserve">count</t>
  </si>
  <si>
    <t xml:space="preserve">Illustrative annual volume; validate with 12 months of history (A-06).</t>
  </si>
  <si>
    <t xml:space="preserve">A-06</t>
  </si>
  <si>
    <t xml:space="preserve">BC-15</t>
  </si>
  <si>
    <t xml:space="preserve">Ops handling time per dispute today</t>
  </si>
  <si>
    <t xml:space="preserve">minutes</t>
  </si>
  <si>
    <t xml:space="preserve">August 2026 time study.</t>
  </si>
  <si>
    <t xml:space="preserve">KPI-05</t>
  </si>
  <si>
    <t xml:space="preserve">BC-16</t>
  </si>
  <si>
    <t xml:space="preserve">Ops handling time per portal-submitted dispute</t>
  </si>
  <si>
    <t xml:space="preserve">Base equals KPI-05 target.</t>
  </si>
  <si>
    <t xml:space="preserve">BC-17</t>
  </si>
  <si>
    <t xml:space="preserve">Loaded ops cost per hour</t>
  </si>
  <si>
    <t xml:space="preserve">Illustrative fully loaded analyst cost.</t>
  </si>
  <si>
    <t xml:space="preserve">BC-18</t>
  </si>
  <si>
    <t xml:space="preserve">Share of released ops capacity that is cashable</t>
  </si>
  <si>
    <t xml:space="preserve">Remainder is redeployed to volume growth. To be agreed with ops leadership.</t>
  </si>
  <si>
    <t xml:space="preserve">LR-17</t>
  </si>
  <si>
    <t xml:space="preserve">Servicing contacts</t>
  </si>
  <si>
    <t xml:space="preserve">BC-19</t>
  </si>
  <si>
    <t xml:space="preserve">Active merchants</t>
  </si>
  <si>
    <t xml:space="preserve">Matches Segments tab total.</t>
  </si>
  <si>
    <t xml:space="preserve">Segments</t>
  </si>
  <si>
    <t xml:space="preserve">BC-20</t>
  </si>
  <si>
    <t xml:space="preserve">Settlement contacts per 100 merchants per month today</t>
  </si>
  <si>
    <t xml:space="preserve">Servicing CRM sample.</t>
  </si>
  <si>
    <t xml:space="preserve">KPI-07</t>
  </si>
  <si>
    <t xml:space="preserve">BC-21</t>
  </si>
  <si>
    <t xml:space="preserve">Settlement contacts per 100 merchants per month with portal</t>
  </si>
  <si>
    <t xml:space="preserve">Base equals KPI-07 target.</t>
  </si>
  <si>
    <t xml:space="preserve">BC-22</t>
  </si>
  <si>
    <t xml:space="preserve">Cost per servicing contact</t>
  </si>
  <si>
    <t xml:space="preserve">Illustrative blended phone and email cost.</t>
  </si>
  <si>
    <t xml:space="preserve">Soft benefits</t>
  </si>
  <si>
    <t xml:space="preserve">BC-23</t>
  </si>
  <si>
    <t xml:space="preserve">Merchants lost per year because of dispute experience</t>
  </si>
  <si>
    <t xml:space="preserve">% of merchants</t>
  </si>
  <si>
    <t xml:space="preserve">Exit survey reason codes (illustrative).</t>
  </si>
  <si>
    <t xml:space="preserve">BC-24</t>
  </si>
  <si>
    <t xml:space="preserve">Reduction in dispute-related attrition with portal</t>
  </si>
  <si>
    <t xml:space="preserve">Assumed improvement from faster, visible dispute handling.</t>
  </si>
  <si>
    <t xml:space="preserve">R-04</t>
  </si>
  <si>
    <t xml:space="preserve">BC-25</t>
  </si>
  <si>
    <t xml:space="preserve">Average annual revenue per merchant</t>
  </si>
  <si>
    <t xml:space="preserve">Illustrative processing and service fees.</t>
  </si>
  <si>
    <t xml:space="preserve">BC-26</t>
  </si>
  <si>
    <t xml:space="preserve">Chargeback write-offs absorbed by provider today</t>
  </si>
  <si>
    <t xml:space="preserve">Chargebacks merchants couldn't cover (illustrative).</t>
  </si>
  <si>
    <t xml:space="preserve">BC-27</t>
  </si>
  <si>
    <t xml:space="preserve">Reduction in write-offs with portal</t>
  </si>
  <si>
    <t xml:space="preserve">Better outcomes and fewer missed deadlines.</t>
  </si>
  <si>
    <t xml:space="preserve">KPI-04</t>
  </si>
  <si>
    <t xml:space="preserve">BC-28</t>
  </si>
  <si>
    <t xml:space="preserve">Confidence factor applied to soft benefits</t>
  </si>
  <si>
    <t xml:space="preserve">Soft benefits are harder to attribute, so they are discounted.</t>
  </si>
  <si>
    <t xml:space="preserve">Adoption (portal evidence share, KPI-06)</t>
  </si>
  <si>
    <t xml:space="preserve">BC-29</t>
  </si>
  <si>
    <t xml:space="preserve">Year 1 (2027) average portal evidence share</t>
  </si>
  <si>
    <t xml:space="preserve">Pilot then Wave 1 and Wave 2 during the year (Rollout Plan).</t>
  </si>
  <si>
    <t xml:space="preserve">KPI-06</t>
  </si>
  <si>
    <t xml:space="preserve">BC-30</t>
  </si>
  <si>
    <t xml:space="preserve">Year 2 (2028) average portal evidence share</t>
  </si>
  <si>
    <t xml:space="preserve">All online segments enabled; email intake retired for enabled merchants.</t>
  </si>
  <si>
    <t xml:space="preserve">BC-31</t>
  </si>
  <si>
    <t xml:space="preserve">Year 3 (2029) average portal evidence share</t>
  </si>
  <si>
    <t xml:space="preserve">Base equals KPI-06 target.</t>
  </si>
  <si>
    <t xml:space="preserve">Merchant value (not in NPV)</t>
  </si>
  <si>
    <t xml:space="preserve">BC-32</t>
  </si>
  <si>
    <t xml:space="preserve">Average disputed amount</t>
  </si>
  <si>
    <t xml:space="preserve">Illustrative.</t>
  </si>
  <si>
    <t xml:space="preserve">BC-33</t>
  </si>
  <si>
    <t xml:space="preserve">Share of disputes contested</t>
  </si>
  <si>
    <t xml:space="preserve">Won + partially won + lost as a share of closed disputes (Outcome Definitions example).</t>
  </si>
  <si>
    <t xml:space="preserve">KPI-02</t>
  </si>
  <si>
    <t xml:space="preserve">BC-34</t>
  </si>
  <si>
    <t xml:space="preserve">Value recovery rate today</t>
  </si>
  <si>
    <t xml:space="preserve">KPI-01 baseline.</t>
  </si>
  <si>
    <t xml:space="preserve">KPI-01</t>
  </si>
  <si>
    <t xml:space="preserve">BC-35</t>
  </si>
  <si>
    <t xml:space="preserve">Value recovery rate with portal</t>
  </si>
  <si>
    <t xml:space="preserve">Base equals KPI-01 target.</t>
  </si>
  <si>
    <t xml:space="preserve">KPI-01, CR-05</t>
  </si>
  <si>
    <t xml:space="preserve">BC-36</t>
  </si>
  <si>
    <t xml:space="preserve">Missed-deadline loss rate today</t>
  </si>
  <si>
    <t xml:space="preserve">KPI-04 baseline.</t>
  </si>
  <si>
    <t xml:space="preserve">BC-37</t>
  </si>
  <si>
    <t xml:space="preserve">Missed-deadline loss rate with portal</t>
  </si>
  <si>
    <t xml:space="preserve">Base equals KPI-04 target.</t>
  </si>
  <si>
    <t xml:space="preserve">Assumption IDs use the BC- prefix so they don't clash with RAID log assumption IDs (A-). Linked item column references the other workbooks.</t>
  </si>
  <si>
    <t xml:space="preserve">Financial Model</t>
  </si>
  <si>
    <t xml:space="preserve">Merchant Payment Operations &amp; Dispute Hub · Simulation project · Provider benefits and costs by scenario (USD)</t>
  </si>
  <si>
    <t xml:space="preserve">All cells calculate from the Assumptions tab. Negative values shown in parentheses.</t>
  </si>
  <si>
    <t xml:space="preserve">Conservative scenario</t>
  </si>
  <si>
    <t xml:space="preserve">Line item</t>
  </si>
  <si>
    <t xml:space="preserve">Portal evidence share</t>
  </si>
  <si>
    <t xml:space="preserve">Driver</t>
  </si>
  <si>
    <t xml:space="preserve">Benefits</t>
  </si>
  <si>
    <t xml:space="preserve">Ops handling time released (cashable share)</t>
  </si>
  <si>
    <t xml:space="preserve">Revenue retained from lower dispute-related attrition</t>
  </si>
  <si>
    <t xml:space="preserve">Costs</t>
  </si>
  <si>
    <t xml:space="preserve">Build team</t>
  </si>
  <si>
    <t xml:space="preserve">One-time</t>
  </si>
  <si>
    <t xml:space="preserve">Penetration test and accessibility audit</t>
  </si>
  <si>
    <t xml:space="preserve">Pilot onboarding, training and communications</t>
  </si>
  <si>
    <t xml:space="preserve">Run costs (hosting, redaction, licenses, run team)</t>
  </si>
  <si>
    <t xml:space="preserve">Recurring</t>
  </si>
  <si>
    <t xml:space="preserve">NPV (3 years, Year 0 undiscounted)</t>
  </si>
  <si>
    <t xml:space="preserve">3-year ROI (total benefits − total costs) ÷ total costs</t>
  </si>
  <si>
    <t xml:space="preserve">Share of benefits that are hard (3-year)</t>
  </si>
  <si>
    <t xml:space="preserve">Base scenario</t>
  </si>
  <si>
    <t xml:space="preserve">Optimistic scenario</t>
  </si>
  <si>
    <t xml:space="preserve">Merchant Value</t>
  </si>
  <si>
    <t xml:space="preserve">Merchant Payment Operations &amp; Dispute Hub · Simulation project · Money kept or recovered by merchants (not included in NPV)</t>
  </si>
  <si>
    <t xml:space="preserve">Used to size the merchant value proposition for GTM messaging. Calculated at Year 3 adoption.</t>
  </si>
  <si>
    <t xml:space="preserve">Measure (per year, at Year 3 adoption)</t>
  </si>
  <si>
    <t xml:space="preserve">How it's calculated</t>
  </si>
  <si>
    <t xml:space="preserve">Value of contested disputes</t>
  </si>
  <si>
    <t xml:space="preserve">Disputes × average amount × share contested</t>
  </si>
  <si>
    <t xml:space="preserve">Portal evidence share (Year 3)</t>
  </si>
  <si>
    <t xml:space="preserve">From Assumptions</t>
  </si>
  <si>
    <t xml:space="preserve">Contested value × recovery rate uplift × portal share</t>
  </si>
  <si>
    <t xml:space="preserve">Disputes × average amount × missed-deadline rate reduction × portal share</t>
  </si>
  <si>
    <t xml:space="preserve">Total merchant value per year</t>
  </si>
  <si>
    <t xml:space="preserve">Recovered + losses avoided</t>
  </si>
  <si>
    <t xml:space="preserve">Average value per active merchant</t>
  </si>
  <si>
    <t xml:space="preserve">Total ÷ active merchants (value is concentrated in high-volume segments)</t>
  </si>
  <si>
    <t xml:space="preserve">Why this is excluded from NPV: recovered dispute value belongs to merchants, not the provider. It is the core of the merchant value proposition and helps justify the adoption assumptions.</t>
  </si>
  <si>
    <t xml:space="preserve">Segment Prioritization</t>
  </si>
  <si>
    <t xml:space="preserve">Merchant Payment Operations &amp; Dispute Hub · Simulation project · Scores decide rollout wave order</t>
  </si>
  <si>
    <t xml:space="preserve">Edit blue inputs and weights. Weighted score and rank calculate automatically.</t>
  </si>
  <si>
    <t xml:space="preserve">Weights</t>
  </si>
  <si>
    <t xml:space="preserve">Volume</t>
  </si>
  <si>
    <t xml:space="preserve">Pain</t>
  </si>
  <si>
    <t xml:space="preserve">Readiness</t>
  </si>
  <si>
    <t xml:space="preserve">Strategic</t>
  </si>
  <si>
    <t xml:space="preserve">Low complexity</t>
  </si>
  <si>
    <t xml:space="preserve">Total</t>
  </si>
  <si>
    <t xml:space="preserve">Segment</t>
  </si>
  <si>
    <t xml:space="preserve">Description</t>
  </si>
  <si>
    <t xml:space="preserve">Share of dispute volume</t>
  </si>
  <si>
    <t xml:space="preserve">Dispute pain (1-5)</t>
  </si>
  <si>
    <t xml:space="preserve">Digital readiness (1-5)</t>
  </si>
  <si>
    <t xml:space="preserve">Strategic value (1-5)</t>
  </si>
  <si>
    <t xml:space="preserve">Implementation complexity (1-5)</t>
  </si>
  <si>
    <t xml:space="preserve">Volume score (1-5)</t>
  </si>
  <si>
    <t xml:space="preserve">Weighted score</t>
  </si>
  <si>
    <t xml:space="preserve">Rank</t>
  </si>
  <si>
    <t xml:space="preserve">Rollout wave</t>
  </si>
  <si>
    <t xml:space="preserve">Rationale</t>
  </si>
  <si>
    <t xml:space="preserve">Enterprise e-commerce</t>
  </si>
  <si>
    <t xml:space="preserve">Large online retailers with dedicated dispute teams and high chargeback volume.</t>
  </si>
  <si>
    <t xml:space="preserve">Pilot, then Wave 1</t>
  </si>
  <si>
    <t xml:space="preserve">Highest volume and pain; pilot merchants come from here.</t>
  </si>
  <si>
    <t xml:space="preserve">Mid-market online retail</t>
  </si>
  <si>
    <t xml:space="preserve">Growing online merchants handling disputes part-time in finance or ops.</t>
  </si>
  <si>
    <t xml:space="preserve">Large share of volume with low complexity; strong email-to-portal savings.</t>
  </si>
  <si>
    <t xml:space="preserve">Subscription &amp; digital services</t>
  </si>
  <si>
    <t xml:space="preserve">Recurring billing and digital goods; frequent 'not recognized' disputes.</t>
  </si>
  <si>
    <t xml:space="preserve">Wave 2</t>
  </si>
  <si>
    <t xml:space="preserve">Very digitally ready; needs recurring-billing evidence guidance first.</t>
  </si>
  <si>
    <t xml:space="preserve">Travel &amp; hospitality</t>
  </si>
  <si>
    <t xml:space="preserve">Airlines, hotels and agencies with long service windows and complex evidence.</t>
  </si>
  <si>
    <t xml:space="preserve">High pain but complex evidence; benefits from Wave 1 learnings.</t>
  </si>
  <si>
    <t xml:space="preserve">Marketplaces &amp; platforms</t>
  </si>
  <si>
    <t xml:space="preserve">Platforms that manage disputes for many sub-merchants.</t>
  </si>
  <si>
    <t xml:space="preserve">Later product phase</t>
  </si>
  <si>
    <t xml:space="preserve">Needs a sub-merchant model not in MVP scope.</t>
  </si>
  <si>
    <t xml:space="preserve">Small card-present merchants</t>
  </si>
  <si>
    <t xml:space="preserve">Local stores with occasional disputes and limited admin time.</t>
  </si>
  <si>
    <t xml:space="preserve">General availability</t>
  </si>
  <si>
    <t xml:space="preserve">Low volume per merchant; self-serve launch with light-touch comms.</t>
  </si>
  <si>
    <t xml:space="preserve">Check: merchants match Assumptions</t>
  </si>
  <si>
    <t xml:space="preserve">Check: dispute volume shares total 100%</t>
  </si>
  <si>
    <t xml:space="preserve">Rollout Plan</t>
  </si>
  <si>
    <t xml:space="preserve">Merchant Payment Operations &amp; Dispute Hub · Simulation project · Pilot-led rollout with go / no-go gates tied to KPIs</t>
  </si>
  <si>
    <t xml:space="preserve">Merchant counts and dispute volume enabled link to the Segments tab. Dates are illustrative.</t>
  </si>
  <si>
    <t xml:space="preserve">Audience</t>
  </si>
  <si>
    <t xml:space="preserve">Dispute volume enabled (cumulative)</t>
  </si>
  <si>
    <t xml:space="preserve">Goal</t>
  </si>
  <si>
    <t xml:space="preserve">Entry criteria</t>
  </si>
  <si>
    <t xml:space="preserve">Exit gates (go / no-go)</t>
  </si>
  <si>
    <t xml:space="preserve">Key activities</t>
  </si>
  <si>
    <t xml:space="preserve">Owner</t>
  </si>
  <si>
    <t xml:space="preserve">Linked items</t>
  </si>
  <si>
    <t xml:space="preserve">Phase 0: Launch readiness</t>
  </si>
  <si>
    <t xml:space="preserve">Internal teams: dispute ops, servicing agents, relationship managers</t>
  </si>
  <si>
    <t xml:space="preserve">Teams trained and go-live gates met</t>
  </si>
  <si>
    <t xml:space="preserve">UAT underway; launch readiness checklist owners assigned</t>
  </si>
  <si>
    <t xml:space="preserve">UAT exit signed off; critical and high pen test findings fixed (BR-17); redaction validated by InfoSec (CR-03); Must-have KPIs ready to measure</t>
  </si>
  <si>
    <t xml:space="preserve">Ops and servicing training; knowledge base; hypercare rota; rollback plan; go-live on 11-Dec</t>
  </si>
  <si>
    <t xml:space="preserve">Product Owner; Project Manager</t>
  </si>
  <si>
    <t xml:space="preserve">D-03, CR-03, LR-01 to LR-16</t>
  </si>
  <si>
    <t xml:space="preserve">Phase 1: Pilot</t>
  </si>
  <si>
    <t xml:space="preserve">10 high-volume pilot merchants from enterprise e-commerce</t>
  </si>
  <si>
    <t xml:space="preserve">Prove adoption, on-time responses and data protection with real merchants</t>
  </si>
  <si>
    <t xml:space="preserve">Production stable through holiday change freeze; terms of use approved (D-05); analytics live (I-06); pilot go/no-go approved (LR-18)</t>
  </si>
  <si>
    <t xml:space="preserve">Activation ≥ 60% within 4 weeks (KPI-08); on-time response ≥ 90% (KPI-03); zero card data incidents (KPI-16); status sync p95 ≤ 5 min (KPI-12); pilot CSAT ≥ 3.8 (KPI-18)</t>
  </si>
  <si>
    <t xml:space="preserve">White-glove onboarding; weekly feedback calls; Spanish PDF guide (CR-04); backlog changes from pilot feedback</t>
  </si>
  <si>
    <t xml:space="preserve">Product Owner</t>
  </si>
  <si>
    <t xml:space="preserve">R-04, A-01, KPI-08</t>
  </si>
  <si>
    <t xml:space="preserve">Phase 2: Wave 1</t>
  </si>
  <si>
    <t xml:space="preserve">Enterprise e-commerce and mid-market online retail</t>
  </si>
  <si>
    <t xml:space="preserve">Scale to the highest dispute-volume segments</t>
  </si>
  <si>
    <t xml:space="preserve">Pilot exit gates met; steering committee go decision</t>
  </si>
  <si>
    <t xml:space="preserve">Portal evidence share ≥ 35% in wave (KPI-06); missed-deadline loss ≤ 5% (KPI-04); settlement contacts trending down (KPI-07); no Sev 1 incidents open</t>
  </si>
  <si>
    <t xml:space="preserve">Relationship manager outreach; merchant webinars; in-portal onboarding guide; email intake auto-reply pointing to portal</t>
  </si>
  <si>
    <t xml:space="preserve">Merchant Relationship Lead</t>
  </si>
  <si>
    <t xml:space="preserve">KPI-06, KPI-04</t>
  </si>
  <si>
    <t xml:space="preserve">Phase 3: Wave 2</t>
  </si>
  <si>
    <t xml:space="preserve">Subscription &amp; digital services; travel &amp; hospitality</t>
  </si>
  <si>
    <t xml:space="preserve">Extend to remaining high-pain online segments</t>
  </si>
  <si>
    <t xml:space="preserve">Wave 1 exit gates met; segment-specific evidence guidance published</t>
  </si>
  <si>
    <t xml:space="preserve">Portal evidence share ≥ 50% across enabled online merchants; ops handling time ≤ 30 min (KPI-05); on-time response ≥ 92%</t>
  </si>
  <si>
    <t xml:space="preserve">Segment playbooks (recurring billing, travel evidence); partner webinars; case studies from Wave 1</t>
  </si>
  <si>
    <t xml:space="preserve">Phase 4: General availability</t>
  </si>
  <si>
    <t xml:space="preserve">Small card-present merchants (self-serve)</t>
  </si>
  <si>
    <t xml:space="preserve">Make the portal the default dispute channel</t>
  </si>
  <si>
    <t xml:space="preserve">Wave 2 exit gates met; ops capacity plan agreed (LR-17)</t>
  </si>
  <si>
    <t xml:space="preserve">Email dispute intake retired for portal-enabled merchants; Year 2 portal share on track for 60%; servicing contact rate at or below KPI-07 target</t>
  </si>
  <si>
    <t xml:space="preserve">Self-serve emails; statement inserts; in-portal banners; servicing scripts; email intake retirement notice</t>
  </si>
  <si>
    <t xml:space="preserve">Product Owner; Dispute Ops Lead</t>
  </si>
  <si>
    <t xml:space="preserve">KPI-06, KPI-07</t>
  </si>
  <si>
    <t xml:space="preserve">Not in this rollout</t>
  </si>
  <si>
    <t xml:space="preserve">Needs a sub-merchant model; planned for a later product phase.</t>
  </si>
  <si>
    <t xml:space="preserve">Adoption check: can the portal share assumptions be reached?</t>
  </si>
  <si>
    <t xml:space="preserve">Year</t>
  </si>
  <si>
    <t xml:space="preserve">Dispute volume enabled by year end</t>
  </si>
  <si>
    <t xml:space="preserve">Portal share assumed (Base)</t>
  </si>
  <si>
    <t xml:space="preserve">Share of enabled volume that must adopt</t>
  </si>
  <si>
    <t xml:space="preserve">Check</t>
  </si>
  <si>
    <t xml:space="preserve">Year 1 share is an annual average, so it is compared with year-end enablement; most Year 1 volume is enabled by the end of Wave 1 in May. 'Stretch' means more than 80% of enabled volume must move to the portal.</t>
  </si>
  <si>
    <t xml:space="preserve">Messaging &amp; Enablement</t>
  </si>
  <si>
    <t xml:space="preserve">Merchant Payment Operations &amp; Dispute Hub · Simulation project · What each audience hears, why they should care, and how we reach them</t>
  </si>
  <si>
    <t xml:space="preserve">Pain today</t>
  </si>
  <si>
    <t xml:space="preserve">Key message</t>
  </si>
  <si>
    <t xml:space="preserve">Proof point</t>
  </si>
  <si>
    <t xml:space="preserve">Primary channels</t>
  </si>
  <si>
    <t xml:space="preserve">Enablement assets</t>
  </si>
  <si>
    <t xml:space="preserve">Merchant operations user</t>
  </si>
  <si>
    <t xml:space="preserve">Merchant</t>
  </si>
  <si>
    <t xml:space="preserve">Deadlines tracked in spreadsheets and inboxes; evidence emailed back and forth; unclear status.</t>
  </si>
  <si>
    <t xml:space="preserve">See every dispute and deadline in one place, and respond in minutes without email.</t>
  </si>
  <si>
    <t xml:space="preserve">Deadline reminders at 5 and 2 days; on-time response target 95% (KPI-03).</t>
  </si>
  <si>
    <t xml:space="preserve">Relationship manager intro; welcome email; in-portal guide</t>
  </si>
  <si>
    <t xml:space="preserve">How-to videos; quick-start guide; evidence checklist by reason code</t>
  </si>
  <si>
    <t xml:space="preserve">Marketing Lead</t>
  </si>
  <si>
    <t xml:space="preserve">Merchant finance user</t>
  </si>
  <si>
    <t xml:space="preserve">Payouts drop without explanation; hard to reconcile chargeback debits and reversals.</t>
  </si>
  <si>
    <t xml:space="preserve">Know exactly why a payout changed and export everything you need to reconcile.</t>
  </si>
  <si>
    <t xml:space="preserve">Settlement view linking debits and reversals to disputes; CSV export (US-029, US-030).</t>
  </si>
  <si>
    <t xml:space="preserve">Finance-focused webinar; monthly statement message</t>
  </si>
  <si>
    <t xml:space="preserve">Reconciliation walkthrough; FAQ</t>
  </si>
  <si>
    <t xml:space="preserve">Merchant admin / owner</t>
  </si>
  <si>
    <t xml:space="preserve">Lost disputes cost real money; no visibility of how the team is performing.</t>
  </si>
  <si>
    <t xml:space="preserve">Recover more disputed revenue and stop losing disputes to missed deadlines.</t>
  </si>
  <si>
    <t xml:space="preserve">Relationship manager meeting; executive email</t>
  </si>
  <si>
    <t xml:space="preserve">One-page value summary; pilot case study</t>
  </si>
  <si>
    <t xml:space="preserve">Relationship manager</t>
  </si>
  <si>
    <t xml:space="preserve">Internal</t>
  </si>
  <si>
    <t xml:space="preserve">Fields dispute complaints but can't see status; escalations damage relationships.</t>
  </si>
  <si>
    <t xml:space="preserve">A faster, visible dispute experience you can sell as a reason to stay.</t>
  </si>
  <si>
    <t xml:space="preserve">Pilot results against exit gates; segment-specific benefits.</t>
  </si>
  <si>
    <t xml:space="preserve">Sales kick-off; team meetings; CRM talking points</t>
  </si>
  <si>
    <t xml:space="preserve">Enablement pack; objection handling guide; demo account</t>
  </si>
  <si>
    <t xml:space="preserve">Dispute ops analyst</t>
  </si>
  <si>
    <t xml:space="preserve">Manual email intake; chasing merchants for evidence; unclear priorities.</t>
  </si>
  <si>
    <t xml:space="preserve">Less chasing and data entry; a prioritized queue of disputes that need you.</t>
  </si>
  <si>
    <t xml:space="preserve">Handling time target 25 minutes, down from 42 (KPI-05).</t>
  </si>
  <si>
    <t xml:space="preserve">Team huddles; hands-on training sessions</t>
  </si>
  <si>
    <t xml:space="preserve">Work queue training; manual review runbook</t>
  </si>
  <si>
    <t xml:space="preserve">Dispute Ops Lead</t>
  </si>
  <si>
    <t xml:space="preserve">Servicing agent</t>
  </si>
  <si>
    <t xml:space="preserve">Can't see dispute status on calls; transfers merchants to dispute ops.</t>
  </si>
  <si>
    <t xml:space="preserve">Answer dispute and payout questions on the first call.</t>
  </si>
  <si>
    <t xml:space="preserve">Dispute status in the agent console (US-024); settlement contacts target 8 per 100 merchants (KPI-07).</t>
  </si>
  <si>
    <t xml:space="preserve">Servicing training; knowledge base</t>
  </si>
  <si>
    <t xml:space="preserve">Call scripts; knowledge base articles; escalation guide</t>
  </si>
  <si>
    <t xml:space="preserve">Servicing Lead</t>
  </si>
  <si>
    <t xml:space="preserve">Launch Readiness Checklist</t>
  </si>
  <si>
    <t xml:space="preserve">Merchant Payment Operations &amp; Dispute Hub · Simulation project · Go-live and pilot readiness by workstream</t>
  </si>
  <si>
    <t xml:space="preserve">Update Status weekly. Items marked critical must be Done before the related gate.</t>
  </si>
  <si>
    <t xml:space="preserve">Workstream</t>
  </si>
  <si>
    <t xml:space="preserve">Readiness item</t>
  </si>
  <si>
    <t xml:space="preserve">Due date</t>
  </si>
  <si>
    <t xml:space="preserve">Status</t>
  </si>
  <si>
    <t xml:space="preserve">Critical for gate</t>
  </si>
  <si>
    <t xml:space="preserve">Gate</t>
  </si>
  <si>
    <t xml:space="preserve">Notes</t>
  </si>
  <si>
    <t xml:space="preserve">LR-01</t>
  </si>
  <si>
    <t xml:space="preserve">Product</t>
  </si>
  <si>
    <t xml:space="preserve">UAT exit criteria signed off by business owners</t>
  </si>
  <si>
    <t xml:space="preserve">Not Started</t>
  </si>
  <si>
    <t xml:space="preserve">Yes</t>
  </si>
  <si>
    <t xml:space="preserve">RTM</t>
  </si>
  <si>
    <t xml:space="preserve">LR-02</t>
  </si>
  <si>
    <t xml:space="preserve">Security</t>
  </si>
  <si>
    <t xml:space="preserve">Penetration test complete; critical and high findings fixed and retested</t>
  </si>
  <si>
    <t xml:space="preserve">InfoSec Lead</t>
  </si>
  <si>
    <t xml:space="preserve">At Risk</t>
  </si>
  <si>
    <t xml:space="preserve">D-03, CR-06, BR-17</t>
  </si>
  <si>
    <t xml:space="preserve">Committed test date is two weeks later than needed.</t>
  </si>
  <si>
    <t xml:space="preserve">LR-03</t>
  </si>
  <si>
    <t xml:space="preserve">Compliance</t>
  </si>
  <si>
    <t xml:space="preserve">InfoSec validation of card-number redaction accuracy</t>
  </si>
  <si>
    <t xml:space="preserve">Compliance Lead</t>
  </si>
  <si>
    <t xml:space="preserve">CR-03, CTL-01</t>
  </si>
  <si>
    <t xml:space="preserve">Condition of CR-03 approval.</t>
  </si>
  <si>
    <t xml:space="preserve">LR-04</t>
  </si>
  <si>
    <t xml:space="preserve">Legal</t>
  </si>
  <si>
    <t xml:space="preserve">Merchant portal terms of use approved</t>
  </si>
  <si>
    <t xml:space="preserve">Legal Counsel</t>
  </si>
  <si>
    <t xml:space="preserve">D-05</t>
  </si>
  <si>
    <t xml:space="preserve">Draft shared 08-Sep; awaiting legal review slot.</t>
  </si>
  <si>
    <t xml:space="preserve">LR-05</t>
  </si>
  <si>
    <t xml:space="preserve">Evidence retention rules confirmed and configured</t>
  </si>
  <si>
    <t xml:space="preserve">In Progress</t>
  </si>
  <si>
    <t xml:space="preserve">A-07, BR-22, CTL-09</t>
  </si>
  <si>
    <t xml:space="preserve">LR-06</t>
  </si>
  <si>
    <t xml:space="preserve">Data</t>
  </si>
  <si>
    <t xml:space="preserve">Analytics tracking plan approved and events live</t>
  </si>
  <si>
    <t xml:space="preserve">Blocked</t>
  </si>
  <si>
    <t xml:space="preserve">I-06, KPI-08</t>
  </si>
  <si>
    <t xml:space="preserve">Pilot activation gate can't be measured without it.</t>
  </si>
  <si>
    <t xml:space="preserve">LR-07</t>
  </si>
  <si>
    <t xml:space="preserve">Dispute outcome and win-rate definitions decided</t>
  </si>
  <si>
    <t xml:space="preserve">Finance Lead</t>
  </si>
  <si>
    <t xml:space="preserve">No</t>
  </si>
  <si>
    <t xml:space="preserve">CR-05, I-05, KPI-02</t>
  </si>
  <si>
    <t xml:space="preserve">LR-08</t>
  </si>
  <si>
    <t xml:space="preserve">Operations</t>
  </si>
  <si>
    <t xml:space="preserve">Dispute ops trained on work queue and manual review</t>
  </si>
  <si>
    <t xml:space="preserve">US-035, US-022</t>
  </si>
  <si>
    <t xml:space="preserve">LR-09</t>
  </si>
  <si>
    <t xml:space="preserve">Servicing</t>
  </si>
  <si>
    <t xml:space="preserve">Servicing agents trained; knowledge base articles published</t>
  </si>
  <si>
    <t xml:space="preserve">D-06, US-024</t>
  </si>
  <si>
    <t xml:space="preserve">LR-10</t>
  </si>
  <si>
    <t xml:space="preserve">Relationship management</t>
  </si>
  <si>
    <t xml:space="preserve">Relationship manager enablement pack and pilot outreach</t>
  </si>
  <si>
    <t xml:space="preserve">LR-11</t>
  </si>
  <si>
    <t xml:space="preserve">Merchant communications</t>
  </si>
  <si>
    <t xml:space="preserve">Pilot invitation, welcome and how-to emails approved</t>
  </si>
  <si>
    <t xml:space="preserve">LR-12</t>
  </si>
  <si>
    <t xml:space="preserve">Spanish PDF user guide for pilot merchants</t>
  </si>
  <si>
    <t xml:space="preserve">CR-04</t>
  </si>
  <si>
    <t xml:space="preserve">LR-13</t>
  </si>
  <si>
    <t xml:space="preserve">10 pilot merchants confirmed and agreements signed</t>
  </si>
  <si>
    <t xml:space="preserve">A-01, R-04</t>
  </si>
  <si>
    <t xml:space="preserve">Pilot merchant list agreed; onboarding in progress.</t>
  </si>
  <si>
    <t xml:space="preserve">LR-14</t>
  </si>
  <si>
    <t xml:space="preserve">Technology</t>
  </si>
  <si>
    <t xml:space="preserve">Hypercare rota and incident runbook in place</t>
  </si>
  <si>
    <t xml:space="preserve">Tech Lead</t>
  </si>
  <si>
    <t xml:space="preserve">LR-15</t>
  </si>
  <si>
    <t xml:space="preserve">Rollback plan tested</t>
  </si>
  <si>
    <t xml:space="preserve">LR-16</t>
  </si>
  <si>
    <t xml:space="preserve">Load test passed at 3x forecast peak</t>
  </si>
  <si>
    <t xml:space="preserve">BR-16, R-09, TC-053</t>
  </si>
  <si>
    <t xml:space="preserve">Finance</t>
  </si>
  <si>
    <t xml:space="preserve">Treatment of released ops capacity agreed (cashable vs redeployed)</t>
  </si>
  <si>
    <t xml:space="preserve">Business case BC-18</t>
  </si>
  <si>
    <t xml:space="preserve">Drives the largest benefit line in the business case.</t>
  </si>
  <si>
    <t xml:space="preserve">LR-18</t>
  </si>
  <si>
    <t xml:space="preserve">Governance</t>
  </si>
  <si>
    <t xml:space="preserve">Steering committee go / no-go for pilot</t>
  </si>
  <si>
    <t xml:space="preserve">Project Manager</t>
  </si>
  <si>
    <t xml:space="preserve">LR-19</t>
  </si>
  <si>
    <t xml:space="preserve">Processor production access in place</t>
  </si>
  <si>
    <t xml:space="preserve">D-01</t>
  </si>
  <si>
    <t xml:space="preserve">Committed one week after the needed date.</t>
  </si>
</sst>
</file>

<file path=xl/styles.xml><?xml version="1.0" encoding="utf-8"?>
<styleSheet xmlns="http://schemas.openxmlformats.org/spreadsheetml/2006/main">
  <numFmts count="11">
    <numFmt numFmtId="164" formatCode="General"/>
    <numFmt numFmtId="165" formatCode="dd\-mmm\-yyyy"/>
    <numFmt numFmtId="166" formatCode="\$#,##0;&quot;($&quot;#,##0\);\-"/>
    <numFmt numFmtId="167" formatCode="0.0%;\(0.0%\);\-"/>
    <numFmt numFmtId="168" formatCode="0.0&quot; years&quot;"/>
    <numFmt numFmtId="169" formatCode="#,##0;\(#,##0\);\-"/>
    <numFmt numFmtId="170" formatCode="\$#,##0,\k"/>
    <numFmt numFmtId="171" formatCode="0.00"/>
    <numFmt numFmtId="172" formatCode="0"/>
    <numFmt numFmtId="173" formatCode="\$#,##0.00"/>
    <numFmt numFmtId="174" formatCode="0.0"/>
  </numFmts>
  <fonts count="24">
    <font>
      <sz val="11"/>
      <color theme="1"/>
      <name val="Calibri"/>
      <family val="2"/>
      <charset val="1"/>
    </font>
    <font>
      <sz val="10"/>
      <name val="Arial"/>
      <family val="0"/>
    </font>
    <font>
      <sz val="10"/>
      <name val="Arial"/>
      <family val="0"/>
    </font>
    <font>
      <sz val="10"/>
      <name val="Arial"/>
      <family val="0"/>
    </font>
    <font>
      <b val="true"/>
      <sz val="22"/>
      <color rgb="FF1F3A5F"/>
      <name val="Arial"/>
      <family val="0"/>
      <charset val="1"/>
    </font>
    <font>
      <b val="true"/>
      <sz val="14"/>
      <color rgb="FF2E7D8C"/>
      <name val="Arial"/>
      <family val="0"/>
      <charset val="1"/>
    </font>
    <font>
      <b val="true"/>
      <sz val="10"/>
      <color rgb="FF1F3A5F"/>
      <name val="Arial"/>
      <family val="0"/>
      <charset val="1"/>
    </font>
    <font>
      <sz val="10"/>
      <color rgb="FF000000"/>
      <name val="Arial"/>
      <family val="0"/>
      <charset val="1"/>
    </font>
    <font>
      <i val="true"/>
      <sz val="10"/>
      <color rgb="FF9C0006"/>
      <name val="Arial"/>
      <family val="0"/>
      <charset val="1"/>
    </font>
    <font>
      <b val="true"/>
      <sz val="12"/>
      <color rgb="FFFFFFFF"/>
      <name val="Arial"/>
      <family val="0"/>
      <charset val="1"/>
    </font>
    <font>
      <b val="true"/>
      <sz val="10"/>
      <color rgb="FF000000"/>
      <name val="Arial"/>
      <family val="0"/>
      <charset val="1"/>
    </font>
    <font>
      <b val="true"/>
      <sz val="10"/>
      <color rgb="FF0000FF"/>
      <name val="Arial"/>
      <family val="0"/>
      <charset val="1"/>
    </font>
    <font>
      <b val="true"/>
      <sz val="10"/>
      <color rgb="FF008000"/>
      <name val="Arial"/>
      <family val="0"/>
      <charset val="1"/>
    </font>
    <font>
      <b val="true"/>
      <sz val="18"/>
      <color rgb="FF1F3A5F"/>
      <name val="Arial"/>
      <family val="0"/>
      <charset val="1"/>
    </font>
    <font>
      <i val="true"/>
      <sz val="10"/>
      <color rgb="FF595959"/>
      <name val="Arial"/>
      <family val="0"/>
      <charset val="1"/>
    </font>
    <font>
      <sz val="10"/>
      <color rgb="FF008000"/>
      <name val="Arial"/>
      <family val="0"/>
      <charset val="1"/>
    </font>
    <font>
      <i val="true"/>
      <sz val="9"/>
      <color rgb="FF595959"/>
      <name val="Arial"/>
      <family val="0"/>
      <charset val="1"/>
    </font>
    <font>
      <b val="true"/>
      <sz val="10"/>
      <color rgb="FF9C0006"/>
      <name val="Arial"/>
      <family val="0"/>
      <charset val="1"/>
    </font>
    <font>
      <b val="true"/>
      <sz val="18"/>
      <color rgb="FF000000"/>
      <name val="Calibri"/>
      <family val="2"/>
    </font>
    <font>
      <sz val="10"/>
      <color rgb="FF000000"/>
      <name val="Calibri"/>
      <family val="2"/>
    </font>
    <font>
      <b val="true"/>
      <sz val="16"/>
      <color rgb="FF1F3A5F"/>
      <name val="Arial"/>
      <family val="0"/>
      <charset val="1"/>
    </font>
    <font>
      <i val="true"/>
      <sz val="9"/>
      <color rgb="FF7F7F7F"/>
      <name val="Arial"/>
      <family val="0"/>
      <charset val="1"/>
    </font>
    <font>
      <b val="true"/>
      <sz val="10"/>
      <color rgb="FFFFFFFF"/>
      <name val="Arial"/>
      <family val="0"/>
      <charset val="1"/>
    </font>
    <font>
      <sz val="10"/>
      <color rgb="FF0000FF"/>
      <name val="Arial"/>
      <family val="0"/>
      <charset val="1"/>
    </font>
  </fonts>
  <fills count="8">
    <fill>
      <patternFill patternType="none"/>
    </fill>
    <fill>
      <patternFill patternType="gray125"/>
    </fill>
    <fill>
      <patternFill patternType="solid">
        <fgColor rgb="FF1F3A5F"/>
        <bgColor rgb="FF1F4E78"/>
      </patternFill>
    </fill>
    <fill>
      <patternFill patternType="solid">
        <fgColor rgb="FFD9D9D9"/>
        <bgColor rgb="FFDDEBF7"/>
      </patternFill>
    </fill>
    <fill>
      <patternFill patternType="solid">
        <fgColor rgb="FFF2F2F2"/>
        <bgColor rgb="FFEDEDED"/>
      </patternFill>
    </fill>
    <fill>
      <patternFill patternType="solid">
        <fgColor rgb="FFFFF2CC"/>
        <bgColor rgb="FFF2F2F2"/>
      </patternFill>
    </fill>
    <fill>
      <patternFill patternType="solid">
        <fgColor rgb="FFDDEBF7"/>
        <bgColor rgb="FFEDEDED"/>
      </patternFill>
    </fill>
    <fill>
      <patternFill patternType="solid">
        <fgColor rgb="FF2E7D8C"/>
        <bgColor rgb="FF008080"/>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true" applyAlignment="true" applyProtection="false">
      <alignment horizontal="left" vertical="top" textRotation="0" wrapText="true" indent="0" shrinkToFit="false"/>
      <protection locked="true" hidden="false"/>
    </xf>
    <xf numFmtId="165" fontId="7" fillId="0" borderId="0" xfId="0" applyFont="true" applyBorder="true" applyAlignment="true" applyProtection="false">
      <alignment horizontal="left" vertical="top" textRotation="0" wrapText="tru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5" fontId="7" fillId="0" borderId="1" xfId="0" applyFont="true" applyBorder="true" applyAlignment="true" applyProtection="false">
      <alignment horizontal="center"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right" vertical="top" textRotation="0" wrapText="false" indent="0" shrinkToFit="false"/>
      <protection locked="true" hidden="false"/>
    </xf>
    <xf numFmtId="167" fontId="15" fillId="0" borderId="1" xfId="0" applyFont="true" applyBorder="true" applyAlignment="true" applyProtection="false">
      <alignment horizontal="right" vertical="top" textRotation="0" wrapText="false" indent="0" shrinkToFit="false"/>
      <protection locked="true" hidden="false"/>
    </xf>
    <xf numFmtId="168" fontId="15" fillId="0" borderId="1" xfId="0" applyFont="true" applyBorder="true" applyAlignment="true" applyProtection="false">
      <alignment horizontal="right" vertical="top" textRotation="0" wrapText="false" indent="0" shrinkToFit="false"/>
      <protection locked="true" hidden="false"/>
    </xf>
    <xf numFmtId="166" fontId="15" fillId="0" borderId="1" xfId="0" applyFont="true" applyBorder="true" applyAlignment="true" applyProtection="false">
      <alignment horizontal="right" vertical="top"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7" fontId="7" fillId="0" borderId="1" xfId="0" applyFont="true" applyBorder="true" applyAlignment="true" applyProtection="false">
      <alignment horizontal="right" vertical="top" textRotation="0" wrapText="fals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5" fontId="15" fillId="0" borderId="1" xfId="0" applyFont="true" applyBorder="true" applyAlignment="true" applyProtection="false">
      <alignment horizontal="center" vertical="top" textRotation="0" wrapText="true" indent="0" shrinkToFit="false"/>
      <protection locked="true" hidden="false"/>
    </xf>
    <xf numFmtId="169" fontId="15" fillId="0" borderId="1" xfId="0" applyFont="true" applyBorder="true" applyAlignment="true" applyProtection="false">
      <alignment horizontal="right" vertical="top" textRotation="0" wrapText="false" indent="0" shrinkToFit="false"/>
      <protection locked="true" hidden="false"/>
    </xf>
    <xf numFmtId="169" fontId="7" fillId="0" borderId="1" xfId="0" applyFont="true" applyBorder="true" applyAlignment="true" applyProtection="false">
      <alignment horizontal="center" vertical="top" textRotation="0" wrapText="true" indent="0" shrinkToFit="false"/>
      <protection locked="true" hidden="false"/>
    </xf>
    <xf numFmtId="169" fontId="17" fillId="0" borderId="1" xfId="0" applyFont="true" applyBorder="true" applyAlignment="true" applyProtection="false">
      <alignment horizontal="center" vertical="top" textRotation="0" wrapText="true" indent="0" shrinkToFit="false"/>
      <protection locked="true" hidden="false"/>
    </xf>
    <xf numFmtId="167" fontId="7" fillId="0" borderId="1" xfId="0" applyFont="true" applyBorder="true" applyAlignment="true" applyProtection="false">
      <alignment horizontal="center" vertical="top" textRotation="0" wrapText="tru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7" fontId="11" fillId="5" borderId="1" xfId="0" applyFont="true" applyBorder="true" applyAlignment="true" applyProtection="false">
      <alignment horizontal="right" vertical="top" textRotation="0" wrapText="false" indent="0" shrinkToFit="false"/>
      <protection locked="true" hidden="false"/>
    </xf>
    <xf numFmtId="166" fontId="11" fillId="5" borderId="1" xfId="0" applyFont="true" applyBorder="true" applyAlignment="true" applyProtection="false">
      <alignment horizontal="right" vertical="top" textRotation="0" wrapText="false" indent="0" shrinkToFit="false"/>
      <protection locked="true" hidden="false"/>
    </xf>
    <xf numFmtId="171" fontId="11" fillId="5" borderId="1" xfId="0" applyFont="true" applyBorder="true" applyAlignment="true" applyProtection="false">
      <alignment horizontal="right" vertical="top" textRotation="0" wrapText="false" indent="0" shrinkToFit="false"/>
      <protection locked="true" hidden="false"/>
    </xf>
    <xf numFmtId="172" fontId="11" fillId="5" borderId="1" xfId="0" applyFont="true" applyBorder="true" applyAlignment="true" applyProtection="false">
      <alignment horizontal="right" vertical="top" textRotation="0" wrapText="false" indent="0" shrinkToFit="false"/>
      <protection locked="true" hidden="false"/>
    </xf>
    <xf numFmtId="169" fontId="11" fillId="5" borderId="1" xfId="0" applyFont="true" applyBorder="true" applyAlignment="true" applyProtection="false">
      <alignment horizontal="right" vertical="top" textRotation="0" wrapText="false" indent="0" shrinkToFit="false"/>
      <protection locked="true" hidden="false"/>
    </xf>
    <xf numFmtId="173" fontId="11" fillId="5" borderId="1" xfId="0" applyFont="true" applyBorder="true" applyAlignment="true" applyProtection="false">
      <alignment horizontal="right" vertical="top" textRotation="0" wrapText="fals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right" vertical="top" textRotation="0" wrapText="false" indent="0" shrinkToFit="false"/>
      <protection locked="true" hidden="false"/>
    </xf>
    <xf numFmtId="166" fontId="10" fillId="0" borderId="1" xfId="0" applyFont="true" applyBorder="true" applyAlignment="true" applyProtection="false">
      <alignment horizontal="right" vertical="top" textRotation="0" wrapText="false" indent="0" shrinkToFit="false"/>
      <protection locked="true" hidden="false"/>
    </xf>
    <xf numFmtId="164" fontId="10" fillId="6" borderId="1" xfId="0" applyFont="true" applyBorder="true" applyAlignment="true" applyProtection="false">
      <alignment horizontal="general" vertical="top" textRotation="0" wrapText="true" indent="0" shrinkToFit="false"/>
      <protection locked="true" hidden="false"/>
    </xf>
    <xf numFmtId="164" fontId="7" fillId="6" borderId="1" xfId="0" applyFont="true" applyBorder="true" applyAlignment="true" applyProtection="false">
      <alignment horizontal="center" vertical="top" textRotation="0" wrapText="true" indent="0" shrinkToFit="false"/>
      <protection locked="true" hidden="false"/>
    </xf>
    <xf numFmtId="166" fontId="10" fillId="6" borderId="1" xfId="0" applyFont="true" applyBorder="true" applyAlignment="true" applyProtection="false">
      <alignment horizontal="right" vertical="top" textRotation="0" wrapText="false" indent="0" shrinkToFit="false"/>
      <protection locked="true" hidden="false"/>
    </xf>
    <xf numFmtId="167" fontId="10" fillId="0" borderId="1" xfId="0" applyFont="true" applyBorder="true" applyAlignment="true" applyProtection="false">
      <alignment horizontal="right" vertical="top" textRotation="0" wrapText="false" indent="0" shrinkToFit="false"/>
      <protection locked="true" hidden="false"/>
    </xf>
    <xf numFmtId="168" fontId="10" fillId="0" borderId="1" xfId="0" applyFont="true" applyBorder="true" applyAlignment="true" applyProtection="false">
      <alignment horizontal="right" vertical="top" textRotation="0" wrapText="false" indent="0" shrinkToFit="false"/>
      <protection locked="true" hidden="false"/>
    </xf>
    <xf numFmtId="173" fontId="7" fillId="0" borderId="1" xfId="0" applyFont="true" applyBorder="true" applyAlignment="true" applyProtection="false">
      <alignment horizontal="right" vertical="top"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center" vertical="top" textRotation="0" wrapText="true" indent="0" shrinkToFit="false"/>
      <protection locked="true" hidden="false"/>
    </xf>
    <xf numFmtId="167" fontId="11" fillId="5" borderId="1" xfId="0" applyFont="true" applyBorder="true" applyAlignment="true" applyProtection="false">
      <alignment horizontal="center" vertical="top" textRotation="0" wrapText="true" indent="0" shrinkToFit="false"/>
      <protection locked="true" hidden="false"/>
    </xf>
    <xf numFmtId="167" fontId="10" fillId="0" borderId="1" xfId="0" applyFont="true" applyBorder="true" applyAlignment="true" applyProtection="false">
      <alignment horizontal="center" vertical="top" textRotation="0" wrapText="true" indent="0" shrinkToFit="false"/>
      <protection locked="true" hidden="false"/>
    </xf>
    <xf numFmtId="164" fontId="22" fillId="2" borderId="1" xfId="0" applyFont="true" applyBorder="true" applyAlignment="true" applyProtection="false">
      <alignment horizontal="center" vertical="center" textRotation="0" wrapText="true" indent="0" shrinkToFit="false"/>
      <protection locked="true" hidden="false"/>
    </xf>
    <xf numFmtId="164" fontId="22" fillId="7" borderId="1" xfId="0" applyFont="true" applyBorder="true" applyAlignment="true" applyProtection="false">
      <alignment horizontal="center" vertical="center" textRotation="0" wrapText="true" indent="0" shrinkToFit="false"/>
      <protection locked="true" hidden="false"/>
    </xf>
    <xf numFmtId="172" fontId="11" fillId="5" borderId="1" xfId="0" applyFont="true" applyBorder="true" applyAlignment="true" applyProtection="false">
      <alignment horizontal="center" vertical="top" textRotation="0" wrapText="true" indent="0" shrinkToFit="false"/>
      <protection locked="true" hidden="false"/>
    </xf>
    <xf numFmtId="174" fontId="7" fillId="0" borderId="1" xfId="0" applyFont="true" applyBorder="true" applyAlignment="true" applyProtection="false">
      <alignment horizontal="center" vertical="top" textRotation="0" wrapText="true" indent="0" shrinkToFit="false"/>
      <protection locked="true" hidden="false"/>
    </xf>
    <xf numFmtId="171" fontId="10" fillId="0" borderId="1" xfId="0" applyFont="true" applyBorder="true" applyAlignment="true" applyProtection="false">
      <alignment horizontal="center" vertical="top" textRotation="0" wrapText="true" indent="0" shrinkToFit="false"/>
      <protection locked="true" hidden="false"/>
    </xf>
    <xf numFmtId="172" fontId="10" fillId="0" borderId="1" xfId="0" applyFont="true" applyBorder="true" applyAlignment="true" applyProtection="false">
      <alignment horizontal="center" vertical="top" textRotation="0" wrapText="true" indent="0" shrinkToFit="false"/>
      <protection locked="true" hidden="false"/>
    </xf>
    <xf numFmtId="164" fontId="11" fillId="5" borderId="1" xfId="0" applyFont="true" applyBorder="true" applyAlignment="true" applyProtection="false">
      <alignment horizontal="center" vertical="top" textRotation="0" wrapText="true" indent="0" shrinkToFit="false"/>
      <protection locked="true" hidden="false"/>
    </xf>
    <xf numFmtId="169" fontId="10" fillId="4" borderId="1" xfId="0" applyFont="true" applyBorder="true" applyAlignment="true" applyProtection="false">
      <alignment horizontal="right" vertical="top" textRotation="0" wrapText="false" indent="0" shrinkToFit="false"/>
      <protection locked="true" hidden="false"/>
    </xf>
    <xf numFmtId="167" fontId="10" fillId="4" borderId="1" xfId="0" applyFont="true" applyBorder="true" applyAlignment="true" applyProtection="false">
      <alignment horizontal="right" vertical="top" textRotation="0" wrapText="false" indent="0" shrinkToFit="false"/>
      <protection locked="true" hidden="false"/>
    </xf>
    <xf numFmtId="164" fontId="10" fillId="0" borderId="1" xfId="0" applyFont="true" applyBorder="true" applyAlignment="true" applyProtection="false">
      <alignment horizontal="center" vertical="top" textRotation="0" wrapText="true" indent="0" shrinkToFit="false"/>
      <protection locked="true" hidden="false"/>
    </xf>
    <xf numFmtId="165" fontId="23" fillId="5" borderId="1" xfId="0" applyFont="true" applyBorder="true" applyAlignment="true" applyProtection="false">
      <alignment horizontal="center" vertical="top" textRotation="0" wrapText="true" indent="0" shrinkToFit="false"/>
      <protection locked="true" hidden="false"/>
    </xf>
    <xf numFmtId="169" fontId="7" fillId="0" borderId="1" xfId="0" applyFont="true" applyBorder="true" applyAlignment="true" applyProtection="false">
      <alignment horizontal="right"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8">
    <dxf>
      <font>
        <name val="Arial"/>
        <charset val="1"/>
        <family val="0"/>
        <b val="1"/>
        <color rgb="FF9C0006"/>
        <sz val="10"/>
      </font>
      <fill>
        <patternFill>
          <bgColor rgb="FFFFC7CE"/>
        </patternFill>
      </fill>
    </dxf>
    <dxf>
      <font>
        <name val="Arial"/>
        <charset val="1"/>
        <family val="0"/>
        <b val="1"/>
        <color rgb="FF006100"/>
        <sz val="10"/>
      </font>
      <fill>
        <patternFill>
          <bgColor rgb="FFC6EFCE"/>
        </patternFill>
      </fill>
    </dxf>
    <dxf>
      <font>
        <name val="Arial"/>
        <charset val="1"/>
        <family val="0"/>
        <b val="1"/>
        <color rgb="FF9C0006"/>
        <sz val="10"/>
      </font>
    </dxf>
    <dxf>
      <font>
        <name val="Arial"/>
        <charset val="1"/>
        <family val="0"/>
        <b val="1"/>
        <color rgb="FF9C5700"/>
        <sz val="10"/>
      </font>
      <fill>
        <patternFill>
          <bgColor rgb="FFFFEB9C"/>
        </patternFill>
      </fill>
    </dxf>
    <dxf>
      <fill>
        <patternFill patternType="solid">
          <fgColor rgb="FF1F3A5F"/>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DDEBF7"/>
          <bgColor rgb="FF000000"/>
        </patternFill>
      </fill>
    </dxf>
    <dxf>
      <fill>
        <patternFill patternType="solid">
          <fgColor rgb="FFEDEDED"/>
          <bgColor rgb="FF000000"/>
        </patternFill>
      </fill>
    </dxf>
    <dxf>
      <fill>
        <patternFill patternType="solid">
          <fgColor rgb="FFFFC7CE"/>
          <bgColor rgb="FF000000"/>
        </patternFill>
      </fill>
    </dxf>
    <dxf>
      <fill>
        <patternFill patternType="solid">
          <fgColor rgb="FFFFEB9C"/>
          <bgColor rgb="FF000000"/>
        </patternFill>
      </fill>
    </dxf>
    <dxf>
      <fill>
        <patternFill patternType="solid">
          <fgColor rgb="FF1F4E78"/>
          <bgColor rgb="FF000000"/>
        </patternFill>
      </fill>
    </dxf>
    <dxf>
      <fill>
        <patternFill patternType="solid">
          <fgColor rgb="FF595959"/>
          <bgColor rgb="FF000000"/>
        </patternFill>
      </fill>
    </dxf>
    <dxf>
      <fill>
        <patternFill patternType="solid">
          <fgColor rgb="FF9C0006"/>
          <bgColor rgb="FF000000"/>
        </patternFill>
      </fill>
    </dxf>
    <dxf>
      <fill>
        <patternFill patternType="solid">
          <fgColor rgb="FF9C5700"/>
          <bgColor rgb="FF000000"/>
        </patternFill>
      </fill>
    </dxf>
    <dxf>
      <font>
        <name val="Arial"/>
        <charset val="1"/>
        <family val="0"/>
        <b val="1"/>
        <color rgb="FF1F4E78"/>
        <sz val="10"/>
      </font>
      <fill>
        <patternFill>
          <bgColor rgb="FFDDEBF7"/>
        </patternFill>
      </fill>
    </dxf>
    <dxf>
      <font>
        <name val="Arial"/>
        <charset val="1"/>
        <family val="0"/>
        <b val="1"/>
        <color rgb="FF595959"/>
        <sz val="10"/>
      </font>
      <fill>
        <patternFill>
          <bgColor rgb="FFEDEDED"/>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7F7F7F"/>
      <rgbColor rgb="FF9999FF"/>
      <rgbColor rgb="FF993366"/>
      <rgbColor rgb="FFFFF2CC"/>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C6EFCE"/>
      <rgbColor rgb="FFFFEB9C"/>
      <rgbColor rgb="FFEDEDED"/>
      <rgbColor rgb="FFFF99CC"/>
      <rgbColor rgb="FFCC99FF"/>
      <rgbColor rgb="FFFFC7CE"/>
      <rgbColor rgb="FF3366FF"/>
      <rgbColor rgb="FF33CCCC"/>
      <rgbColor rgb="FF99CC00"/>
      <rgbColor rgb="FFFFCC00"/>
      <rgbColor rgb="FFFF9900"/>
      <rgbColor rgb="FFFF6600"/>
      <rgbColor rgb="FF595959"/>
      <rgbColor rgb="FF878787"/>
      <rgbColor rgb="FF1F3A5F"/>
      <rgbColor rgb="FF2E7D8C"/>
      <rgbColor rgb="FF006100"/>
      <rgbColor rgb="FF333300"/>
      <rgbColor rgb="FF9C57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Base case cash flow (USD)</a:t>
            </a:r>
          </a:p>
        </c:rich>
      </c:tx>
      <c:overlay val="0"/>
      <c:spPr>
        <a:noFill/>
        <a:ln w="0">
          <a:noFill/>
        </a:ln>
      </c:spPr>
    </c:title>
    <c:autoTitleDeleted val="0"/>
    <c:plotArea>
      <c:barChart>
        <c:barDir val="col"/>
        <c:grouping val="clustered"/>
        <c:varyColors val="0"/>
        <c:ser>
          <c:idx val="0"/>
          <c:order val="0"/>
          <c:tx>
            <c:strRef>
              <c:f>Dashboard!B18</c:f>
              <c:strCache>
                <c:ptCount val="1"/>
                <c:pt idx="0">
                  <c:v>Total benefits</c:v>
                </c:pt>
              </c:strCache>
            </c:strRef>
          </c:tx>
          <c:spPr>
            <a:solidFill>
              <a:srgbClr val="2e7d8c"/>
            </a:solidFill>
            <a:ln w="0">
              <a:solidFill>
                <a:srgbClr val="2e7d8c"/>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Dashboard!$C$17:$F$17</c:f>
              <c:strCache>
                <c:ptCount val="4"/>
                <c:pt idx="0">
                  <c:v>2026 (Y0)</c:v>
                </c:pt>
                <c:pt idx="1">
                  <c:v>2027 (Y1)</c:v>
                </c:pt>
                <c:pt idx="2">
                  <c:v>2028 (Y2)</c:v>
                </c:pt>
                <c:pt idx="3">
                  <c:v>2029 (Y3)</c:v>
                </c:pt>
              </c:strCache>
            </c:strRef>
          </c:cat>
          <c:val>
            <c:numRef>
              <c:f>Dashboard!$C$18:$F$18</c:f>
              <c:numCache>
                <c:formatCode>\$#,##0;"($"#,##0\);\-</c:formatCode>
                <c:ptCount val="4"/>
                <c:pt idx="0">
                  <c:v>0</c:v>
                </c:pt>
                <c:pt idx="1">
                  <c:v>355541.666666667</c:v>
                </c:pt>
                <c:pt idx="2">
                  <c:v>609500</c:v>
                </c:pt>
                <c:pt idx="3">
                  <c:v>711083.333333333</c:v>
                </c:pt>
              </c:numCache>
            </c:numRef>
          </c:val>
        </c:ser>
        <c:ser>
          <c:idx val="1"/>
          <c:order val="1"/>
          <c:tx>
            <c:strRef>
              <c:f>Dashboard!B19</c:f>
              <c:strCache>
                <c:ptCount val="1"/>
                <c:pt idx="0">
                  <c:v>Total costs</c:v>
                </c:pt>
              </c:strCache>
            </c:strRef>
          </c:tx>
          <c:spPr>
            <a:solidFill>
              <a:srgbClr val="bfbfbf"/>
            </a:solidFill>
            <a:ln w="0">
              <a:solidFill>
                <a:srgbClr val="bfbfb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Dashboard!$C$17:$F$17</c:f>
              <c:strCache>
                <c:ptCount val="4"/>
                <c:pt idx="0">
                  <c:v>2026 (Y0)</c:v>
                </c:pt>
                <c:pt idx="1">
                  <c:v>2027 (Y1)</c:v>
                </c:pt>
                <c:pt idx="2">
                  <c:v>2028 (Y2)</c:v>
                </c:pt>
                <c:pt idx="3">
                  <c:v>2029 (Y3)</c:v>
                </c:pt>
              </c:strCache>
            </c:strRef>
          </c:cat>
          <c:val>
            <c:numRef>
              <c:f>Dashboard!$C$19:$F$19</c:f>
              <c:numCache>
                <c:formatCode>\$#,##0;"($"#,##0\);\-</c:formatCode>
                <c:ptCount val="4"/>
                <c:pt idx="0">
                  <c:v>612000</c:v>
                </c:pt>
                <c:pt idx="1">
                  <c:v>254000</c:v>
                </c:pt>
                <c:pt idx="2">
                  <c:v>234000</c:v>
                </c:pt>
                <c:pt idx="3">
                  <c:v>234000</c:v>
                </c:pt>
              </c:numCache>
            </c:numRef>
          </c:val>
        </c:ser>
        <c:gapWidth val="150"/>
        <c:overlap val="0"/>
        <c:axId val="71397170"/>
        <c:axId val="49092649"/>
      </c:barChart>
      <c:lineChart>
        <c:grouping val="standard"/>
        <c:varyColors val="0"/>
        <c:ser>
          <c:idx val="2"/>
          <c:order val="2"/>
          <c:tx>
            <c:strRef>
              <c:f>Dashboard!B21</c:f>
              <c:strCache>
                <c:ptCount val="1"/>
                <c:pt idx="0">
                  <c:v>Cumulative net cash flow</c:v>
                </c:pt>
              </c:strCache>
            </c:strRef>
          </c:tx>
          <c:spPr>
            <a:solidFill>
              <a:srgbClr val="1f3a5f"/>
            </a:solidFill>
            <a:ln w="28080">
              <a:solidFill>
                <a:srgbClr val="1f3a5f"/>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Dashboard!$C$17:$F$17</c:f>
              <c:strCache>
                <c:ptCount val="4"/>
                <c:pt idx="0">
                  <c:v>2026 (Y0)</c:v>
                </c:pt>
                <c:pt idx="1">
                  <c:v>2027 (Y1)</c:v>
                </c:pt>
                <c:pt idx="2">
                  <c:v>2028 (Y2)</c:v>
                </c:pt>
                <c:pt idx="3">
                  <c:v>2029 (Y3)</c:v>
                </c:pt>
              </c:strCache>
            </c:strRef>
          </c:cat>
          <c:val>
            <c:numRef>
              <c:f>Dashboard!$C$21:$F$21</c:f>
              <c:numCache>
                <c:formatCode>\$#,##0;"($"#,##0\);\-</c:formatCode>
                <c:ptCount val="4"/>
                <c:pt idx="0">
                  <c:v>-612000</c:v>
                </c:pt>
                <c:pt idx="1">
                  <c:v>-510458.333333333</c:v>
                </c:pt>
                <c:pt idx="2">
                  <c:v>-134958.333333333</c:v>
                </c:pt>
                <c:pt idx="3">
                  <c:v>342125</c:v>
                </c:pt>
              </c:numCache>
            </c:numRef>
          </c:val>
          <c:smooth val="1"/>
        </c:ser>
        <c:hiLowLines>
          <c:spPr>
            <a:ln w="0">
              <a:noFill/>
            </a:ln>
          </c:spPr>
        </c:hiLowLines>
        <c:marker val="0"/>
        <c:axId val="71397170"/>
        <c:axId val="49092649"/>
      </c:lineChart>
      <c:catAx>
        <c:axId val="7139717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9092649"/>
        <c:crosses val="autoZero"/>
        <c:auto val="1"/>
        <c:lblAlgn val="ctr"/>
        <c:lblOffset val="100"/>
        <c:noMultiLvlLbl val="0"/>
      </c:catAx>
      <c:valAx>
        <c:axId val="49092649"/>
        <c:scaling>
          <c:orientation val="minMax"/>
        </c:scaling>
        <c:delete val="0"/>
        <c:axPos val="l"/>
        <c:numFmt formatCode="\$#,##0,\k"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1397170"/>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21</xdr:row>
      <xdr:rowOff>100800</xdr:rowOff>
    </xdr:from>
    <xdr:to>
      <xdr:col>7</xdr:col>
      <xdr:colOff>518400</xdr:colOff>
      <xdr:row>35</xdr:row>
      <xdr:rowOff>133560</xdr:rowOff>
    </xdr:to>
    <xdr:graphicFrame>
      <xdr:nvGraphicFramePr>
        <xdr:cNvPr id="0" name="Chart 1"/>
        <xdr:cNvGraphicFramePr/>
      </xdr:nvGraphicFramePr>
      <xdr:xfrm>
        <a:off x="211320" y="5095800"/>
        <a:ext cx="79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9.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7" min="3" style="0" width="20"/>
  </cols>
  <sheetData>
    <row r="2" customFormat="false" ht="26.8" hidden="false" customHeight="false" outlineLevel="0" collapsed="false">
      <c r="B2" s="1" t="s">
        <v>0</v>
      </c>
    </row>
    <row r="3" customFormat="false" ht="17.35" hidden="false" customHeight="false" outlineLevel="0" collapsed="false">
      <c r="B3" s="2" t="s">
        <v>1</v>
      </c>
    </row>
    <row r="5" customFormat="false" ht="15" hidden="false" customHeight="true" outlineLevel="0" collapsed="false">
      <c r="B5" s="3" t="s">
        <v>2</v>
      </c>
      <c r="C5" s="4" t="s">
        <v>3</v>
      </c>
      <c r="D5" s="4"/>
      <c r="E5" s="4"/>
      <c r="F5" s="4"/>
      <c r="G5" s="4"/>
    </row>
    <row r="6" customFormat="false" ht="15" hidden="false" customHeight="true" outlineLevel="0" collapsed="false">
      <c r="B6" s="3" t="s">
        <v>4</v>
      </c>
      <c r="C6" s="4" t="s">
        <v>5</v>
      </c>
      <c r="D6" s="4"/>
      <c r="E6" s="4"/>
      <c r="F6" s="4"/>
      <c r="G6" s="4"/>
    </row>
    <row r="7" customFormat="false" ht="15" hidden="false" customHeight="false" outlineLevel="0" collapsed="false">
      <c r="B7" s="3" t="s">
        <v>6</v>
      </c>
      <c r="C7" s="5" t="n">
        <v>46275</v>
      </c>
      <c r="D7" s="5"/>
      <c r="E7" s="5"/>
      <c r="F7" s="5"/>
      <c r="G7" s="5"/>
    </row>
    <row r="8" customFormat="false" ht="15" hidden="false" customHeight="true" outlineLevel="0" collapsed="false">
      <c r="B8" s="3" t="s">
        <v>7</v>
      </c>
      <c r="C8" s="4" t="s">
        <v>8</v>
      </c>
      <c r="D8" s="4"/>
      <c r="E8" s="4"/>
      <c r="F8" s="4"/>
      <c r="G8" s="4"/>
    </row>
    <row r="9" customFormat="false" ht="30" hidden="false" customHeight="true" outlineLevel="0" collapsed="false">
      <c r="B9" s="3" t="s">
        <v>9</v>
      </c>
      <c r="C9" s="4" t="s">
        <v>10</v>
      </c>
      <c r="D9" s="4"/>
      <c r="E9" s="4"/>
      <c r="F9" s="4"/>
      <c r="G9" s="4"/>
    </row>
    <row r="10" customFormat="false" ht="30" hidden="false" customHeight="true" outlineLevel="0" collapsed="false">
      <c r="B10" s="3" t="s">
        <v>11</v>
      </c>
      <c r="C10" s="4" t="s">
        <v>12</v>
      </c>
      <c r="D10" s="4"/>
      <c r="E10" s="4"/>
      <c r="F10" s="4"/>
      <c r="G10" s="4"/>
    </row>
    <row r="11" customFormat="false" ht="30" hidden="false" customHeight="true" outlineLevel="0" collapsed="false">
      <c r="B11" s="3" t="s">
        <v>13</v>
      </c>
      <c r="C11" s="6" t="s">
        <v>14</v>
      </c>
      <c r="D11" s="6"/>
      <c r="E11" s="6"/>
      <c r="F11" s="6"/>
      <c r="G11" s="6"/>
    </row>
    <row r="13" customFormat="false" ht="19.5" hidden="false" customHeight="true" outlineLevel="0" collapsed="false">
      <c r="B13" s="7" t="s">
        <v>15</v>
      </c>
      <c r="C13" s="8"/>
      <c r="D13" s="8"/>
      <c r="E13" s="8"/>
      <c r="F13" s="8"/>
      <c r="G13" s="8"/>
    </row>
    <row r="14" customFormat="false" ht="57.75" hidden="false" customHeight="true" outlineLevel="0" collapsed="false">
      <c r="B14" s="9" t="s">
        <v>16</v>
      </c>
      <c r="C14" s="9"/>
      <c r="D14" s="9"/>
      <c r="E14" s="9"/>
      <c r="F14" s="9"/>
      <c r="G14" s="9"/>
    </row>
    <row r="16" customFormat="false" ht="19.5" hidden="false" customHeight="true" outlineLevel="0" collapsed="false">
      <c r="B16" s="7" t="s">
        <v>17</v>
      </c>
      <c r="C16" s="8"/>
      <c r="D16" s="8"/>
      <c r="E16" s="8"/>
      <c r="F16" s="8"/>
      <c r="G16" s="8"/>
    </row>
    <row r="17" customFormat="false" ht="15" hidden="false" customHeight="true" outlineLevel="0" collapsed="false">
      <c r="B17" s="10" t="s">
        <v>18</v>
      </c>
      <c r="C17" s="10" t="s">
        <v>19</v>
      </c>
      <c r="D17" s="10"/>
      <c r="E17" s="10"/>
      <c r="F17" s="10"/>
      <c r="G17" s="10"/>
    </row>
    <row r="18" customFormat="false" ht="31.5" hidden="false" customHeight="true" outlineLevel="0" collapsed="false">
      <c r="B18" s="11" t="s">
        <v>20</v>
      </c>
      <c r="C18" s="12" t="s">
        <v>21</v>
      </c>
      <c r="D18" s="12"/>
      <c r="E18" s="12"/>
      <c r="F18" s="12"/>
      <c r="G18" s="12"/>
    </row>
    <row r="19" customFormat="false" ht="31.5" hidden="false" customHeight="true" outlineLevel="0" collapsed="false">
      <c r="B19" s="11" t="s">
        <v>22</v>
      </c>
      <c r="C19" s="12" t="s">
        <v>23</v>
      </c>
      <c r="D19" s="12"/>
      <c r="E19" s="12"/>
      <c r="F19" s="12"/>
      <c r="G19" s="12"/>
    </row>
    <row r="20" customFormat="false" ht="31.5" hidden="false" customHeight="true" outlineLevel="0" collapsed="false">
      <c r="B20" s="11" t="s">
        <v>24</v>
      </c>
      <c r="C20" s="12" t="s">
        <v>25</v>
      </c>
      <c r="D20" s="12"/>
      <c r="E20" s="12"/>
      <c r="F20" s="12"/>
      <c r="G20" s="12"/>
    </row>
    <row r="21" customFormat="false" ht="31.5" hidden="false" customHeight="true" outlineLevel="0" collapsed="false">
      <c r="B21" s="11" t="s">
        <v>26</v>
      </c>
      <c r="C21" s="12" t="s">
        <v>27</v>
      </c>
      <c r="D21" s="12"/>
      <c r="E21" s="12"/>
      <c r="F21" s="12"/>
      <c r="G21" s="12"/>
    </row>
    <row r="22" customFormat="false" ht="31.5" hidden="false" customHeight="true" outlineLevel="0" collapsed="false">
      <c r="B22" s="11" t="s">
        <v>28</v>
      </c>
      <c r="C22" s="12" t="s">
        <v>29</v>
      </c>
      <c r="D22" s="12"/>
      <c r="E22" s="12"/>
      <c r="F22" s="12"/>
      <c r="G22" s="12"/>
    </row>
    <row r="24" customFormat="false" ht="19.5" hidden="false" customHeight="true" outlineLevel="0" collapsed="false">
      <c r="B24" s="7" t="s">
        <v>30</v>
      </c>
      <c r="C24" s="8"/>
      <c r="D24" s="8"/>
      <c r="E24" s="8"/>
      <c r="F24" s="8"/>
      <c r="G24" s="8"/>
    </row>
    <row r="25" customFormat="false" ht="15" hidden="false" customHeight="false" outlineLevel="0" collapsed="false">
      <c r="B25" s="13" t="s">
        <v>31</v>
      </c>
      <c r="C25" s="13"/>
      <c r="D25" s="13"/>
      <c r="E25" s="13"/>
      <c r="F25" s="13"/>
      <c r="G25" s="13"/>
    </row>
    <row r="26" customFormat="false" ht="15" hidden="false" customHeight="false" outlineLevel="0" collapsed="false">
      <c r="B26" s="14" t="s">
        <v>32</v>
      </c>
      <c r="C26" s="14"/>
      <c r="D26" s="14"/>
      <c r="E26" s="14"/>
      <c r="F26" s="14"/>
      <c r="G26" s="14"/>
    </row>
    <row r="27" customFormat="false" ht="15" hidden="false" customHeight="false" outlineLevel="0" collapsed="false">
      <c r="B27" s="15" t="s">
        <v>33</v>
      </c>
      <c r="C27" s="15"/>
      <c r="D27" s="15"/>
      <c r="E27" s="15"/>
      <c r="F27" s="15"/>
      <c r="G27" s="15"/>
    </row>
    <row r="29" customFormat="false" ht="19.5" hidden="false" customHeight="true" outlineLevel="0" collapsed="false">
      <c r="B29" s="7" t="s">
        <v>34</v>
      </c>
      <c r="C29" s="8"/>
      <c r="D29" s="8"/>
      <c r="E29" s="8"/>
      <c r="F29" s="8"/>
      <c r="G29" s="8"/>
    </row>
    <row r="30" customFormat="false" ht="18" hidden="false" customHeight="true" outlineLevel="0" collapsed="false">
      <c r="B30" s="9" t="s">
        <v>35</v>
      </c>
      <c r="C30" s="9"/>
      <c r="D30" s="9"/>
      <c r="E30" s="9"/>
      <c r="F30" s="9"/>
      <c r="G30" s="9"/>
    </row>
    <row r="31" customFormat="false" ht="18" hidden="false" customHeight="true" outlineLevel="0" collapsed="false">
      <c r="B31" s="9" t="s">
        <v>36</v>
      </c>
      <c r="C31" s="9"/>
      <c r="D31" s="9"/>
      <c r="E31" s="9"/>
      <c r="F31" s="9"/>
      <c r="G31" s="9"/>
    </row>
    <row r="32" customFormat="false" ht="18" hidden="false" customHeight="true" outlineLevel="0" collapsed="false">
      <c r="B32" s="9" t="s">
        <v>37</v>
      </c>
      <c r="C32" s="9"/>
      <c r="D32" s="9"/>
      <c r="E32" s="9"/>
      <c r="F32" s="9"/>
      <c r="G32" s="9"/>
    </row>
    <row r="33" customFormat="false" ht="18" hidden="false" customHeight="true" outlineLevel="0" collapsed="false">
      <c r="B33" s="9" t="s">
        <v>38</v>
      </c>
      <c r="C33" s="9"/>
      <c r="D33" s="9"/>
      <c r="E33" s="9"/>
      <c r="F33" s="9"/>
      <c r="G33" s="9"/>
    </row>
    <row r="35" customFormat="false" ht="19.5" hidden="false" customHeight="true" outlineLevel="0" collapsed="false">
      <c r="B35" s="7" t="s">
        <v>39</v>
      </c>
      <c r="C35" s="8"/>
      <c r="D35" s="8"/>
      <c r="E35" s="8"/>
      <c r="F35" s="8"/>
      <c r="G35" s="8"/>
    </row>
    <row r="36" customFormat="false" ht="15" hidden="false" customHeight="true" outlineLevel="0" collapsed="false">
      <c r="B36" s="10" t="s">
        <v>4</v>
      </c>
      <c r="C36" s="10" t="s">
        <v>40</v>
      </c>
      <c r="D36" s="10" t="s">
        <v>41</v>
      </c>
      <c r="E36" s="10" t="s">
        <v>42</v>
      </c>
      <c r="F36" s="10"/>
      <c r="G36" s="10"/>
    </row>
    <row r="37" customFormat="false" ht="30" hidden="false" customHeight="true" outlineLevel="0" collapsed="false">
      <c r="B37" s="16" t="s">
        <v>5</v>
      </c>
      <c r="C37" s="17" t="n">
        <v>46275</v>
      </c>
      <c r="D37" s="16" t="s">
        <v>43</v>
      </c>
      <c r="E37" s="12" t="s">
        <v>44</v>
      </c>
      <c r="F37" s="12"/>
      <c r="G37" s="12"/>
    </row>
  </sheetData>
  <mergeCells count="23">
    <mergeCell ref="C5:G5"/>
    <mergeCell ref="C6:G6"/>
    <mergeCell ref="C7:G7"/>
    <mergeCell ref="C8:G8"/>
    <mergeCell ref="C9:G9"/>
    <mergeCell ref="C10:G10"/>
    <mergeCell ref="C11:G11"/>
    <mergeCell ref="B14:G14"/>
    <mergeCell ref="C17:G17"/>
    <mergeCell ref="C18:G18"/>
    <mergeCell ref="C19:G19"/>
    <mergeCell ref="C20:G20"/>
    <mergeCell ref="C21:G21"/>
    <mergeCell ref="C22:G22"/>
    <mergeCell ref="B25:G25"/>
    <mergeCell ref="B26:G26"/>
    <mergeCell ref="B27:G27"/>
    <mergeCell ref="B30:G30"/>
    <mergeCell ref="B31:G31"/>
    <mergeCell ref="B32:G32"/>
    <mergeCell ref="B33:G33"/>
    <mergeCell ref="E36:G36"/>
    <mergeCell ref="E37:G3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8" min="3" style="0" width="15"/>
    <col collapsed="false" customWidth="true" hidden="false" outlineLevel="0" max="9" min="9" style="0" width="4"/>
  </cols>
  <sheetData>
    <row r="1" customFormat="false" ht="22.05" hidden="false" customHeight="false" outlineLevel="0" collapsed="false">
      <c r="B1" s="18" t="s">
        <v>45</v>
      </c>
    </row>
    <row r="2" customFormat="false" ht="15" hidden="false" customHeight="false" outlineLevel="0" collapsed="false">
      <c r="B2" s="19" t="s">
        <v>46</v>
      </c>
    </row>
    <row r="3" customFormat="false" ht="15" hidden="false" customHeight="false" outlineLevel="0" collapsed="false">
      <c r="B3" s="20" t="str">
        <f aca="false">"Reporting date: "&amp;TEXT(Cover!$C$7,"DD-MMM-YYYY")</f>
        <v>Reporting date: 10-Sep-2026</v>
      </c>
    </row>
    <row r="5" customFormat="false" ht="19.5" hidden="false" customHeight="true" outlineLevel="0" collapsed="false">
      <c r="B5" s="7" t="s">
        <v>47</v>
      </c>
      <c r="C5" s="8"/>
      <c r="D5" s="8"/>
      <c r="E5" s="8"/>
      <c r="F5" s="8"/>
      <c r="G5" s="8"/>
      <c r="H5" s="8"/>
    </row>
    <row r="6" customFormat="false" ht="24" hidden="false" customHeight="true" outlineLevel="0" collapsed="false">
      <c r="B6" s="10" t="s">
        <v>48</v>
      </c>
      <c r="C6" s="10" t="s">
        <v>49</v>
      </c>
      <c r="D6" s="10" t="s">
        <v>50</v>
      </c>
      <c r="E6" s="10" t="s">
        <v>51</v>
      </c>
    </row>
    <row r="7" customFormat="false" ht="19.5" hidden="false" customHeight="true" outlineLevel="0" collapsed="false">
      <c r="B7" s="11" t="s">
        <v>52</v>
      </c>
      <c r="C7" s="21" t="n">
        <f aca="false">'Financial Model'!C24</f>
        <v>-839324.75582269</v>
      </c>
      <c r="D7" s="21" t="n">
        <f aca="false">'Financial Model'!C48</f>
        <v>149080.954169797</v>
      </c>
      <c r="E7" s="21" t="n">
        <f aca="false">'Financial Model'!C72</f>
        <v>1342930.26546456</v>
      </c>
    </row>
    <row r="8" customFormat="false" ht="19.5" hidden="false" customHeight="true" outlineLevel="0" collapsed="false">
      <c r="B8" s="11" t="s">
        <v>53</v>
      </c>
      <c r="C8" s="22" t="n">
        <f aca="false">'Financial Model'!C25</f>
        <v>-0.588947190250508</v>
      </c>
      <c r="D8" s="22" t="n">
        <f aca="false">'Financial Model'!C49</f>
        <v>0.256465517241379</v>
      </c>
      <c r="E8" s="22" t="n">
        <f aca="false">'Financial Model'!C73</f>
        <v>1.37732033639144</v>
      </c>
    </row>
    <row r="9" customFormat="false" ht="19.5" hidden="false" customHeight="true" outlineLevel="0" collapsed="false">
      <c r="B9" s="11" t="s">
        <v>54</v>
      </c>
      <c r="C9" s="23" t="str">
        <f aca="false">'Financial Model'!C26</f>
        <v>Beyond 3 years</v>
      </c>
      <c r="D9" s="23" t="n">
        <f aca="false">'Financial Model'!C50</f>
        <v>2.28288209606987</v>
      </c>
      <c r="E9" s="23" t="n">
        <f aca="false">'Financial Model'!C74</f>
        <v>1.15547996240728</v>
      </c>
    </row>
    <row r="10" customFormat="false" ht="19.5" hidden="false" customHeight="true" outlineLevel="0" collapsed="false">
      <c r="B10" s="11" t="s">
        <v>55</v>
      </c>
      <c r="C10" s="24" t="n">
        <f aca="false">'Financial Model'!C20</f>
        <v>612000</v>
      </c>
      <c r="D10" s="24" t="n">
        <f aca="false">'Financial Model'!C44</f>
        <v>612000</v>
      </c>
      <c r="E10" s="24" t="n">
        <f aca="false">'Financial Model'!C68</f>
        <v>612000</v>
      </c>
    </row>
    <row r="11" customFormat="false" ht="19.5" hidden="false" customHeight="true" outlineLevel="0" collapsed="false">
      <c r="B11" s="11" t="s">
        <v>56</v>
      </c>
      <c r="C11" s="24" t="n">
        <f aca="false">'Financial Model'!F13</f>
        <v>267135</v>
      </c>
      <c r="D11" s="24" t="n">
        <f aca="false">'Financial Model'!F37</f>
        <v>711083.333333333</v>
      </c>
      <c r="E11" s="24" t="n">
        <f aca="false">'Financial Model'!F61</f>
        <v>1275706.66666667</v>
      </c>
    </row>
    <row r="12" customFormat="false" ht="19.5" hidden="false" customHeight="true" outlineLevel="0" collapsed="false">
      <c r="B12" s="11" t="s">
        <v>57</v>
      </c>
      <c r="C12" s="24" t="n">
        <f aca="false">'Financial Model'!F21</f>
        <v>-12864.9999999999</v>
      </c>
      <c r="D12" s="24" t="n">
        <f aca="false">'Financial Model'!F45</f>
        <v>477083.333333333</v>
      </c>
      <c r="E12" s="24" t="n">
        <f aca="false">'Financial Model'!F69</f>
        <v>1049706.66666667</v>
      </c>
    </row>
    <row r="13" customFormat="false" ht="19.5" hidden="false" customHeight="true" outlineLevel="0" collapsed="false">
      <c r="B13" s="11" t="s">
        <v>58</v>
      </c>
      <c r="C13" s="22" t="n">
        <f aca="false">'Financial Model'!C27</f>
        <v>0.965410747374923</v>
      </c>
      <c r="D13" s="22" t="n">
        <f aca="false">'Financial Model'!C51</f>
        <v>0.963084495488105</v>
      </c>
      <c r="E13" s="22" t="n">
        <f aca="false">'Financial Model'!C75</f>
        <v>0.959363699073977</v>
      </c>
    </row>
    <row r="14" customFormat="false" ht="30" hidden="false" customHeight="true" outlineLevel="0" collapsed="false">
      <c r="B14" s="25" t="s">
        <v>59</v>
      </c>
      <c r="C14" s="25"/>
      <c r="D14" s="25"/>
      <c r="E14" s="25"/>
      <c r="F14" s="25"/>
      <c r="G14" s="25"/>
      <c r="H14" s="25"/>
    </row>
    <row r="16" customFormat="false" ht="19.5" hidden="false" customHeight="true" outlineLevel="0" collapsed="false">
      <c r="B16" s="7" t="s">
        <v>60</v>
      </c>
      <c r="C16" s="8"/>
      <c r="D16" s="8"/>
      <c r="E16" s="8"/>
      <c r="F16" s="8"/>
      <c r="G16" s="8"/>
      <c r="H16" s="8"/>
    </row>
    <row r="17" customFormat="false" ht="21.75" hidden="false" customHeight="true" outlineLevel="0" collapsed="false">
      <c r="B17" s="10"/>
      <c r="C17" s="10" t="s">
        <v>61</v>
      </c>
      <c r="D17" s="10" t="s">
        <v>62</v>
      </c>
      <c r="E17" s="10" t="s">
        <v>63</v>
      </c>
      <c r="F17" s="10" t="s">
        <v>64</v>
      </c>
    </row>
    <row r="18" customFormat="false" ht="15" hidden="false" customHeight="false" outlineLevel="0" collapsed="false">
      <c r="B18" s="11" t="s">
        <v>65</v>
      </c>
      <c r="C18" s="24" t="n">
        <f aca="false">'Financial Model'!C37</f>
        <v>0</v>
      </c>
      <c r="D18" s="24" t="n">
        <f aca="false">'Financial Model'!D37</f>
        <v>355541.666666667</v>
      </c>
      <c r="E18" s="24" t="n">
        <f aca="false">'Financial Model'!E37</f>
        <v>609500</v>
      </c>
      <c r="F18" s="24" t="n">
        <f aca="false">'Financial Model'!F37</f>
        <v>711083.333333333</v>
      </c>
    </row>
    <row r="19" customFormat="false" ht="15" hidden="false" customHeight="false" outlineLevel="0" collapsed="false">
      <c r="B19" s="11" t="s">
        <v>66</v>
      </c>
      <c r="C19" s="24" t="n">
        <f aca="false">'Financial Model'!C44</f>
        <v>612000</v>
      </c>
      <c r="D19" s="24" t="n">
        <f aca="false">'Financial Model'!D44</f>
        <v>254000</v>
      </c>
      <c r="E19" s="24" t="n">
        <f aca="false">'Financial Model'!E44</f>
        <v>234000</v>
      </c>
      <c r="F19" s="24" t="n">
        <f aca="false">'Financial Model'!F44</f>
        <v>234000</v>
      </c>
    </row>
    <row r="20" customFormat="false" ht="15" hidden="false" customHeight="false" outlineLevel="0" collapsed="false">
      <c r="B20" s="11" t="s">
        <v>67</v>
      </c>
      <c r="C20" s="21" t="n">
        <f aca="false">'Financial Model'!C45</f>
        <v>-612000</v>
      </c>
      <c r="D20" s="21" t="n">
        <f aca="false">'Financial Model'!D45</f>
        <v>101541.666666667</v>
      </c>
      <c r="E20" s="21" t="n">
        <f aca="false">'Financial Model'!E45</f>
        <v>375500</v>
      </c>
      <c r="F20" s="21" t="n">
        <f aca="false">'Financial Model'!F45</f>
        <v>477083.333333333</v>
      </c>
    </row>
    <row r="21" customFormat="false" ht="15" hidden="false" customHeight="false" outlineLevel="0" collapsed="false">
      <c r="B21" s="11" t="s">
        <v>68</v>
      </c>
      <c r="C21" s="21" t="n">
        <f aca="false">'Financial Model'!C46</f>
        <v>-612000</v>
      </c>
      <c r="D21" s="21" t="n">
        <f aca="false">'Financial Model'!D46</f>
        <v>-510458.333333333</v>
      </c>
      <c r="E21" s="21" t="n">
        <f aca="false">'Financial Model'!E46</f>
        <v>-134958.333333333</v>
      </c>
      <c r="F21" s="21" t="n">
        <f aca="false">'Financial Model'!F46</f>
        <v>342125</v>
      </c>
    </row>
    <row r="39" customFormat="false" ht="19.5" hidden="false" customHeight="true" outlineLevel="0" collapsed="false">
      <c r="B39" s="7" t="s">
        <v>69</v>
      </c>
      <c r="C39" s="8"/>
      <c r="D39" s="8"/>
      <c r="E39" s="8"/>
      <c r="F39" s="8"/>
      <c r="G39" s="8"/>
      <c r="H39" s="8"/>
    </row>
    <row r="40" customFormat="false" ht="21.75" hidden="false" customHeight="true" outlineLevel="0" collapsed="false">
      <c r="B40" s="10" t="s">
        <v>70</v>
      </c>
      <c r="C40" s="10" t="s">
        <v>71</v>
      </c>
      <c r="D40" s="10" t="s">
        <v>72</v>
      </c>
      <c r="E40" s="10" t="s">
        <v>73</v>
      </c>
      <c r="F40" s="10"/>
    </row>
    <row r="41" customFormat="false" ht="23.85" hidden="false" customHeight="false" outlineLevel="0" collapsed="false">
      <c r="B41" s="11" t="s">
        <v>74</v>
      </c>
      <c r="C41" s="16" t="s">
        <v>75</v>
      </c>
      <c r="D41" s="24" t="n">
        <f aca="false">'Financial Model'!G33</f>
        <v>1421200</v>
      </c>
      <c r="E41" s="26" t="n">
        <f aca="false">IFERROR(D41/SUM($D$41:$D$44),0)</f>
        <v>0.847908121410993</v>
      </c>
    </row>
    <row r="42" customFormat="false" ht="23.85" hidden="false" customHeight="false" outlineLevel="0" collapsed="false">
      <c r="B42" s="11" t="s">
        <v>76</v>
      </c>
      <c r="C42" s="16" t="s">
        <v>75</v>
      </c>
      <c r="D42" s="24" t="n">
        <f aca="false">'Financial Model'!G34</f>
        <v>193050</v>
      </c>
      <c r="E42" s="26" t="n">
        <f aca="false">IFERROR(D42/SUM($D$41:$D$44),0)</f>
        <v>0.115176374077112</v>
      </c>
    </row>
    <row r="43" customFormat="false" ht="15" hidden="false" customHeight="false" outlineLevel="0" collapsed="false">
      <c r="B43" s="11" t="s">
        <v>77</v>
      </c>
      <c r="C43" s="16" t="s">
        <v>78</v>
      </c>
      <c r="D43" s="24" t="n">
        <f aca="false">'Financial Model'!G35</f>
        <v>37125</v>
      </c>
      <c r="E43" s="26" t="n">
        <f aca="false">IFERROR(D43/SUM($D$41:$D$44),0)</f>
        <v>0.022149302707137</v>
      </c>
    </row>
    <row r="44" customFormat="false" ht="15" hidden="false" customHeight="false" outlineLevel="0" collapsed="false">
      <c r="B44" s="11" t="s">
        <v>79</v>
      </c>
      <c r="C44" s="16" t="s">
        <v>78</v>
      </c>
      <c r="D44" s="24" t="n">
        <f aca="false">'Financial Model'!G36</f>
        <v>24750</v>
      </c>
      <c r="E44" s="26" t="n">
        <f aca="false">IFERROR(D44/SUM($D$41:$D$44),0)</f>
        <v>0.014766201804758</v>
      </c>
    </row>
    <row r="46" customFormat="false" ht="19.5" hidden="false" customHeight="true" outlineLevel="0" collapsed="false">
      <c r="B46" s="7" t="s">
        <v>80</v>
      </c>
      <c r="C46" s="8"/>
      <c r="D46" s="8"/>
      <c r="E46" s="8"/>
      <c r="F46" s="8"/>
      <c r="G46" s="8"/>
      <c r="H46" s="8"/>
    </row>
    <row r="47" customFormat="false" ht="21.75" hidden="false" customHeight="true" outlineLevel="0" collapsed="false">
      <c r="B47" s="10" t="s">
        <v>48</v>
      </c>
      <c r="C47" s="10" t="s">
        <v>49</v>
      </c>
      <c r="D47" s="10" t="s">
        <v>50</v>
      </c>
      <c r="E47" s="10" t="s">
        <v>51</v>
      </c>
    </row>
    <row r="48" customFormat="false" ht="23.85" hidden="false" customHeight="false" outlineLevel="0" collapsed="false">
      <c r="B48" s="12" t="s">
        <v>81</v>
      </c>
      <c r="C48" s="24" t="n">
        <f aca="false">'Merchant Value'!B8</f>
        <v>112860</v>
      </c>
      <c r="D48" s="24" t="n">
        <f aca="false">'Merchant Value'!C8</f>
        <v>372400</v>
      </c>
      <c r="E48" s="24" t="n">
        <f aca="false">'Merchant Value'!D8</f>
        <v>601920</v>
      </c>
    </row>
    <row r="49" customFormat="false" ht="23.85" hidden="false" customHeight="false" outlineLevel="0" collapsed="false">
      <c r="B49" s="12" t="s">
        <v>82</v>
      </c>
      <c r="C49" s="24" t="n">
        <f aca="false">'Merchant Value'!B9</f>
        <v>188100</v>
      </c>
      <c r="D49" s="24" t="n">
        <f aca="false">'Merchant Value'!C9</f>
        <v>399000</v>
      </c>
      <c r="E49" s="24" t="n">
        <f aca="false">'Merchant Value'!D9</f>
        <v>585200</v>
      </c>
    </row>
    <row r="50" customFormat="false" ht="15" hidden="false" customHeight="false" outlineLevel="0" collapsed="false">
      <c r="B50" s="11" t="s">
        <v>83</v>
      </c>
      <c r="C50" s="21" t="n">
        <f aca="false">'Merchant Value'!B10</f>
        <v>300960</v>
      </c>
      <c r="D50" s="21" t="n">
        <f aca="false">'Merchant Value'!C10</f>
        <v>771400</v>
      </c>
      <c r="E50" s="21" t="n">
        <f aca="false">'Merchant Value'!D10</f>
        <v>1187120</v>
      </c>
    </row>
    <row r="52" customFormat="false" ht="19.5" hidden="false" customHeight="true" outlineLevel="0" collapsed="false">
      <c r="B52" s="7" t="s">
        <v>84</v>
      </c>
      <c r="C52" s="8"/>
      <c r="D52" s="8"/>
      <c r="E52" s="8"/>
      <c r="F52" s="8"/>
      <c r="G52" s="8"/>
      <c r="H52" s="8"/>
    </row>
    <row r="53" customFormat="false" ht="30" hidden="false" customHeight="true" outlineLevel="0" collapsed="false">
      <c r="B53" s="10" t="s">
        <v>85</v>
      </c>
      <c r="C53" s="10" t="s">
        <v>86</v>
      </c>
      <c r="D53" s="10" t="s">
        <v>87</v>
      </c>
      <c r="E53" s="10" t="s">
        <v>88</v>
      </c>
      <c r="F53" s="10" t="s">
        <v>89</v>
      </c>
      <c r="G53" s="10" t="s">
        <v>90</v>
      </c>
    </row>
    <row r="54" customFormat="false" ht="19.5" hidden="false" customHeight="true" outlineLevel="0" collapsed="false">
      <c r="B54" s="27" t="str">
        <f aca="false">'Rollout Plan'!A6</f>
        <v>Phase 0: Launch readiness</v>
      </c>
      <c r="C54" s="28" t="n">
        <f aca="false">'Rollout Plan'!B6</f>
        <v>46342</v>
      </c>
      <c r="D54" s="28" t="n">
        <f aca="false">'Rollout Plan'!C6</f>
        <v>46367</v>
      </c>
      <c r="E54" s="29" t="n">
        <f aca="false">'Rollout Plan'!E6</f>
        <v>0</v>
      </c>
      <c r="F54" s="29" t="n">
        <f aca="false">'Rollout Plan'!F6</f>
        <v>0</v>
      </c>
      <c r="G54" s="22" t="n">
        <f aca="false">'Rollout Plan'!G6</f>
        <v>0</v>
      </c>
    </row>
    <row r="55" customFormat="false" ht="19.5" hidden="false" customHeight="true" outlineLevel="0" collapsed="false">
      <c r="B55" s="27" t="str">
        <f aca="false">'Rollout Plan'!A7</f>
        <v>Phase 1: Pilot</v>
      </c>
      <c r="C55" s="28" t="n">
        <f aca="false">'Rollout Plan'!B7</f>
        <v>46398</v>
      </c>
      <c r="D55" s="28" t="n">
        <f aca="false">'Rollout Plan'!C7</f>
        <v>46451</v>
      </c>
      <c r="E55" s="29" t="n">
        <f aca="false">'Rollout Plan'!E7</f>
        <v>10</v>
      </c>
      <c r="F55" s="29" t="n">
        <f aca="false">'Rollout Plan'!F7</f>
        <v>10</v>
      </c>
      <c r="G55" s="22" t="n">
        <f aca="false">'Rollout Plan'!G7</f>
        <v>0.0126666666666667</v>
      </c>
    </row>
    <row r="56" customFormat="false" ht="19.5" hidden="false" customHeight="true" outlineLevel="0" collapsed="false">
      <c r="B56" s="27" t="str">
        <f aca="false">'Rollout Plan'!A8</f>
        <v>Phase 2: Wave 1</v>
      </c>
      <c r="C56" s="28" t="n">
        <f aca="false">'Rollout Plan'!B8</f>
        <v>46461</v>
      </c>
      <c r="D56" s="28" t="n">
        <f aca="false">'Rollout Plan'!C8</f>
        <v>46535</v>
      </c>
      <c r="E56" s="29" t="n">
        <f aca="false">'Rollout Plan'!E8</f>
        <v>2990</v>
      </c>
      <c r="F56" s="29" t="n">
        <f aca="false">'Rollout Plan'!F8</f>
        <v>3000</v>
      </c>
      <c r="G56" s="22" t="n">
        <f aca="false">'Rollout Plan'!G8</f>
        <v>0.62</v>
      </c>
    </row>
    <row r="57" customFormat="false" ht="19.5" hidden="false" customHeight="true" outlineLevel="0" collapsed="false">
      <c r="B57" s="27" t="str">
        <f aca="false">'Rollout Plan'!A9</f>
        <v>Phase 3: Wave 2</v>
      </c>
      <c r="C57" s="28" t="n">
        <f aca="false">'Rollout Plan'!B9</f>
        <v>46545</v>
      </c>
      <c r="D57" s="28" t="n">
        <f aca="false">'Rollout Plan'!C9</f>
        <v>46654</v>
      </c>
      <c r="E57" s="29" t="n">
        <f aca="false">'Rollout Plan'!E9</f>
        <v>2400</v>
      </c>
      <c r="F57" s="29" t="n">
        <f aca="false">'Rollout Plan'!F9</f>
        <v>5400</v>
      </c>
      <c r="G57" s="22" t="n">
        <f aca="false">'Rollout Plan'!G9</f>
        <v>0.88</v>
      </c>
    </row>
    <row r="58" customFormat="false" ht="19.5" hidden="false" customHeight="true" outlineLevel="0" collapsed="false">
      <c r="B58" s="27" t="str">
        <f aca="false">'Rollout Plan'!A10</f>
        <v>Phase 4: General availability</v>
      </c>
      <c r="C58" s="28" t="n">
        <f aca="false">'Rollout Plan'!B10</f>
        <v>46664</v>
      </c>
      <c r="D58" s="28" t="n">
        <f aca="false">'Rollout Plan'!C10</f>
        <v>46738</v>
      </c>
      <c r="E58" s="29" t="n">
        <f aca="false">'Rollout Plan'!E10</f>
        <v>19500</v>
      </c>
      <c r="F58" s="29" t="n">
        <f aca="false">'Rollout Plan'!F10</f>
        <v>24900</v>
      </c>
      <c r="G58" s="22" t="n">
        <f aca="false">'Rollout Plan'!G10</f>
        <v>0.93</v>
      </c>
    </row>
    <row r="60" customFormat="false" ht="15" hidden="false" customHeight="false" outlineLevel="0" collapsed="false">
      <c r="B60" s="11" t="s">
        <v>91</v>
      </c>
      <c r="C60" s="27" t="str">
        <f aca="false">INDEX(Segments!$A$9:$A$14,MATCH(1,Segments!$K$9:$K$14,0))</f>
        <v>Enterprise e-commerce</v>
      </c>
      <c r="D60" s="27"/>
      <c r="E60" s="27"/>
    </row>
    <row r="62" customFormat="false" ht="19.5" hidden="false" customHeight="true" outlineLevel="0" collapsed="false">
      <c r="B62" s="7" t="s">
        <v>92</v>
      </c>
      <c r="C62" s="8"/>
      <c r="D62" s="8"/>
      <c r="E62" s="8"/>
      <c r="F62" s="8"/>
      <c r="G62" s="8"/>
      <c r="H62" s="8"/>
    </row>
    <row r="63" customFormat="false" ht="21.75" hidden="false" customHeight="true" outlineLevel="0" collapsed="false">
      <c r="B63" s="10" t="s">
        <v>48</v>
      </c>
      <c r="C63" s="10" t="s">
        <v>93</v>
      </c>
      <c r="D63" s="10" t="s">
        <v>94</v>
      </c>
      <c r="E63" s="10" t="s">
        <v>95</v>
      </c>
      <c r="F63" s="10" t="s">
        <v>96</v>
      </c>
    </row>
    <row r="64" customFormat="false" ht="15" hidden="false" customHeight="false" outlineLevel="0" collapsed="false">
      <c r="B64" s="11" t="s">
        <v>97</v>
      </c>
      <c r="C64" s="30" t="n">
        <f aca="false">COUNTIFS('Launch Readiness'!$H$5:$H$65,"Go-live")</f>
        <v>10</v>
      </c>
      <c r="D64" s="30" t="n">
        <f aca="false">COUNTIFS('Launch Readiness'!$H$5:$H$65,"Pilot")</f>
        <v>7</v>
      </c>
      <c r="E64" s="30" t="n">
        <f aca="false">COUNTIFS('Launch Readiness'!$H$5:$H$65,"Wave 1")</f>
        <v>2</v>
      </c>
      <c r="F64" s="30" t="n">
        <f aca="false">COUNTA('Launch Readiness'!$A$5:$A$65)</f>
        <v>19</v>
      </c>
    </row>
    <row r="65" customFormat="false" ht="15" hidden="false" customHeight="false" outlineLevel="0" collapsed="false">
      <c r="B65" s="11" t="s">
        <v>98</v>
      </c>
      <c r="C65" s="30" t="n">
        <f aca="false">COUNTIFS('Launch Readiness'!$H$5:$H$65,"Go-live",'Launch Readiness'!$F$5:$F$65,"Done")</f>
        <v>0</v>
      </c>
      <c r="D65" s="30" t="n">
        <f aca="false">COUNTIFS('Launch Readiness'!$H$5:$H$65,"Pilot",'Launch Readiness'!$F$5:$F$65,"Done")</f>
        <v>0</v>
      </c>
      <c r="E65" s="30" t="n">
        <f aca="false">COUNTIFS('Launch Readiness'!$H$5:$H$65,"Wave 1",'Launch Readiness'!$F$5:$F$65,"Done")</f>
        <v>0</v>
      </c>
      <c r="F65" s="30" t="n">
        <f aca="false">COUNTIFS('Launch Readiness'!$F$5:$F$65,"Done")</f>
        <v>0</v>
      </c>
    </row>
    <row r="66" customFormat="false" ht="15" hidden="false" customHeight="false" outlineLevel="0" collapsed="false">
      <c r="B66" s="11" t="s">
        <v>99</v>
      </c>
      <c r="C66" s="31" t="n">
        <f aca="false">COUNTIFS('Launch Readiness'!$H$5:$H$65,"Go-live",'Launch Readiness'!$F$5:$F$65,"At Risk")+COUNTIFS('Launch Readiness'!$H$5:$H$65,"Go-live",'Launch Readiness'!$F$5:$F$65,"Blocked")</f>
        <v>2</v>
      </c>
      <c r="D66" s="31" t="n">
        <f aca="false">COUNTIFS('Launch Readiness'!$H$5:$H$65,"Pilot",'Launch Readiness'!$F$5:$F$65,"At Risk")+COUNTIFS('Launch Readiness'!$H$5:$H$65,"Pilot",'Launch Readiness'!$F$5:$F$65,"Blocked")</f>
        <v>1</v>
      </c>
      <c r="E66" s="31" t="n">
        <f aca="false">COUNTIFS('Launch Readiness'!$H$5:$H$65,"Wave 1",'Launch Readiness'!$F$5:$F$65,"At Risk")+COUNTIFS('Launch Readiness'!$H$5:$H$65,"Wave 1",'Launch Readiness'!$F$5:$F$65,"Blocked")</f>
        <v>0</v>
      </c>
      <c r="F66" s="31" t="n">
        <f aca="false">COUNTIFS('Launch Readiness'!$F$5:$F$65,"At Risk")+COUNTIFS('Launch Readiness'!$F$5:$F$65,"Blocked")</f>
        <v>3</v>
      </c>
    </row>
    <row r="67" customFormat="false" ht="15" hidden="false" customHeight="false" outlineLevel="0" collapsed="false">
      <c r="B67" s="11" t="s">
        <v>100</v>
      </c>
      <c r="C67" s="31" t="n">
        <f aca="false">COUNTIFS('Launch Readiness'!$H$5:$H$65,"Go-live",'Launch Readiness'!$G$5:$G$65,"Yes")-COUNTIFS('Launch Readiness'!$H$5:$H$65,"Go-live",'Launch Readiness'!$G$5:$G$65,"Yes",'Launch Readiness'!$F$5:$F$65,"Done")</f>
        <v>10</v>
      </c>
      <c r="D67" s="31" t="n">
        <f aca="false">COUNTIFS('Launch Readiness'!$H$5:$H$65,"Pilot",'Launch Readiness'!$G$5:$G$65,"Yes")-COUNTIFS('Launch Readiness'!$H$5:$H$65,"Pilot",'Launch Readiness'!$G$5:$G$65,"Yes",'Launch Readiness'!$F$5:$F$65,"Done")</f>
        <v>4</v>
      </c>
      <c r="E67" s="31" t="n">
        <f aca="false">COUNTIFS('Launch Readiness'!$H$5:$H$65,"Wave 1",'Launch Readiness'!$G$5:$G$65,"Yes")-COUNTIFS('Launch Readiness'!$H$5:$H$65,"Wave 1",'Launch Readiness'!$G$5:$G$65,"Yes",'Launch Readiness'!$F$5:$F$65,"Done")</f>
        <v>0</v>
      </c>
      <c r="F67" s="31" t="n">
        <f aca="false">COUNTIFS('Launch Readiness'!$G$5:$G$65,"Yes")-COUNTIFS('Launch Readiness'!$G$5:$G$65,"Yes",'Launch Readiness'!$F$5:$F$65,"Done")</f>
        <v>14</v>
      </c>
    </row>
    <row r="68" customFormat="false" ht="15" hidden="false" customHeight="false" outlineLevel="0" collapsed="false">
      <c r="B68" s="11" t="s">
        <v>101</v>
      </c>
      <c r="C68" s="32" t="n">
        <f aca="false">IFERROR(C65/C64,0)</f>
        <v>0</v>
      </c>
      <c r="D68" s="32" t="n">
        <f aca="false">IFERROR(D65/D64,0)</f>
        <v>0</v>
      </c>
      <c r="E68" s="32" t="n">
        <f aca="false">IFERROR(E65/E64,0)</f>
        <v>0</v>
      </c>
      <c r="F68" s="32" t="n">
        <f aca="false">IFERROR(F65/F64,0)</f>
        <v>0</v>
      </c>
    </row>
    <row r="70" customFormat="false" ht="19.5" hidden="false" customHeight="true" outlineLevel="0" collapsed="false">
      <c r="B70" s="7" t="s">
        <v>102</v>
      </c>
      <c r="C70" s="8"/>
      <c r="D70" s="8"/>
      <c r="E70" s="8"/>
      <c r="F70" s="8"/>
      <c r="G70" s="8"/>
      <c r="H70" s="8"/>
    </row>
    <row r="71" customFormat="false" ht="19.5" hidden="false" customHeight="true" outlineLevel="0" collapsed="false">
      <c r="B71" s="9" t="s">
        <v>103</v>
      </c>
      <c r="C71" s="9"/>
      <c r="D71" s="9"/>
      <c r="E71" s="9"/>
      <c r="F71" s="9"/>
      <c r="G71" s="9"/>
      <c r="H71" s="9"/>
    </row>
    <row r="72" customFormat="false" ht="19.5" hidden="false" customHeight="true" outlineLevel="0" collapsed="false">
      <c r="B72" s="9" t="s">
        <v>104</v>
      </c>
      <c r="C72" s="9"/>
      <c r="D72" s="9"/>
      <c r="E72" s="9"/>
      <c r="F72" s="9"/>
      <c r="G72" s="9"/>
      <c r="H72" s="9"/>
    </row>
    <row r="73" customFormat="false" ht="19.5" hidden="false" customHeight="true" outlineLevel="0" collapsed="false">
      <c r="B73" s="9" t="s">
        <v>105</v>
      </c>
      <c r="C73" s="9"/>
      <c r="D73" s="9"/>
      <c r="E73" s="9"/>
      <c r="F73" s="9"/>
      <c r="G73" s="9"/>
      <c r="H73" s="9"/>
    </row>
    <row r="74" customFormat="false" ht="19.5" hidden="false" customHeight="true" outlineLevel="0" collapsed="false">
      <c r="B74" s="9" t="s">
        <v>106</v>
      </c>
      <c r="C74" s="9"/>
      <c r="D74" s="9"/>
      <c r="E74" s="9"/>
      <c r="F74" s="9"/>
      <c r="G74" s="9"/>
      <c r="H74" s="9"/>
    </row>
  </sheetData>
  <mergeCells count="6">
    <mergeCell ref="B14:H14"/>
    <mergeCell ref="C60:E60"/>
    <mergeCell ref="B71:H71"/>
    <mergeCell ref="B72:H72"/>
    <mergeCell ref="B73:H73"/>
    <mergeCell ref="B74:H74"/>
  </mergeCells>
  <conditionalFormatting sqref="C7:E7">
    <cfRule type="cellIs" priority="2" operator="lessThan" aboveAverage="0" equalAverage="0" bottom="0" percent="0" rank="0" text="" dxfId="0">
      <formula>0</formula>
    </cfRule>
    <cfRule type="cellIs" priority="3" operator="greaterThanOrEqual" aboveAverage="0" equalAverage="0" bottom="0" percent="0" rank="0" text="" dxfId="1">
      <formula>0</formula>
    </cfRule>
  </conditionalFormatting>
  <conditionalFormatting sqref="C20:F21">
    <cfRule type="cellIs" priority="4" operator="lessThan" aboveAverage="0" equalAverage="0" bottom="0" percent="0" rank="0" text="" dxfId="2">
      <formula>0</formula>
    </cfRule>
  </conditionalFormatting>
  <conditionalFormatting sqref="E41:E44">
    <cfRule type="dataBar" priority="5">
      <dataBar showValue="1" minLength="10" maxLength="90">
        <cfvo type="num" val="0"/>
        <cfvo type="num" val="1"/>
        <color rgb="FF5B9BD5"/>
      </dataBar>
      <extLst>
        <ext xmlns:x14="http://schemas.microsoft.com/office/spreadsheetml/2009/9/main" uri="{B025F937-C7B1-47D3-B67F-A62EFF666E3E}">
          <x14:id>{3FEF9E85-3C4B-49E3-8A62-D1B84C97738A}</x14:id>
        </ext>
      </extLst>
    </cfRule>
  </conditionalFormatting>
  <conditionalFormatting sqref="G54:G58">
    <cfRule type="dataBar" priority="6">
      <dataBar showValue="1" minLength="10" maxLength="90">
        <cfvo type="num" val="0"/>
        <cfvo type="num" val="1"/>
        <color rgb="FF5B9BD5"/>
      </dataBar>
      <extLst>
        <ext xmlns:x14="http://schemas.microsoft.com/office/spreadsheetml/2009/9/main" uri="{B025F937-C7B1-47D3-B67F-A62EFF666E3E}">
          <x14:id>{C0E3D81E-348C-43D0-B317-1092E2A62D42}</x14:id>
        </ext>
      </extLst>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dataBar" id="{3FEF9E85-3C4B-49E3-8A62-D1B84C97738A}">
            <x14:dataBar minLength="10" maxLength="90" axisPosition="none" gradient="true">
              <x14:cfvo type="num">
                <xm:f>0</xm:f>
              </x14:cfvo>
              <x14:cfvo type="num">
                <xm:f>1</xm:f>
              </x14:cfvo>
              <x14:negativeFillColor rgb="FF5B9BD5"/>
              <x14:axisColor rgb="FF000000"/>
            </x14:dataBar>
          </x14:cfRule>
          <xm:sqref>E41:E44</xm:sqref>
        </x14:conditionalFormatting>
        <x14:conditionalFormatting xmlns:xm="http://schemas.microsoft.com/office/excel/2006/main">
          <x14:cfRule type="dataBar" id="{C0E3D81E-348C-43D0-B317-1092E2A62D42}">
            <x14:dataBar minLength="10" maxLength="90" axisPosition="none" gradient="true">
              <x14:cfvo type="num">
                <xm:f>0</xm:f>
              </x14:cfvo>
              <x14:cfvo type="num">
                <xm:f>1</xm:f>
              </x14:cfvo>
              <x14:negativeFillColor rgb="FF5B9BD5"/>
              <x14:axisColor rgb="FF000000"/>
            </x14:dataBar>
          </x14:cfRule>
          <xm:sqref>G54:G58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44"/>
    <col collapsed="false" customWidth="true" hidden="false" outlineLevel="0" max="6" min="3" style="0" width="14"/>
    <col collapsed="false" customWidth="true" hidden="false" outlineLevel="0" max="7" min="7" style="0" width="44"/>
    <col collapsed="false" customWidth="true" hidden="false" outlineLevel="0" max="8" min="8" style="0" width="16"/>
  </cols>
  <sheetData>
    <row r="1" customFormat="false" ht="19.7" hidden="false" customHeight="false" outlineLevel="0" collapsed="false">
      <c r="A1" s="33" t="s">
        <v>107</v>
      </c>
    </row>
    <row r="2" customFormat="false" ht="15" hidden="false" customHeight="false" outlineLevel="0" collapsed="false">
      <c r="A2" s="19" t="s">
        <v>108</v>
      </c>
    </row>
    <row r="3" customFormat="false" ht="15" hidden="false" customHeight="false" outlineLevel="0" collapsed="false">
      <c r="A3" s="34" t="s">
        <v>109</v>
      </c>
    </row>
    <row r="5" customFormat="false" ht="31.5" hidden="false" customHeight="true" outlineLevel="0" collapsed="false">
      <c r="A5" s="10" t="s">
        <v>110</v>
      </c>
      <c r="B5" s="10" t="s">
        <v>111</v>
      </c>
      <c r="C5" s="10" t="s">
        <v>112</v>
      </c>
      <c r="D5" s="10" t="s">
        <v>49</v>
      </c>
      <c r="E5" s="10" t="s">
        <v>50</v>
      </c>
      <c r="F5" s="10" t="s">
        <v>51</v>
      </c>
      <c r="G5" s="10" t="s">
        <v>113</v>
      </c>
      <c r="H5" s="10" t="s">
        <v>114</v>
      </c>
    </row>
    <row r="6" customFormat="false" ht="15" hidden="false" customHeight="false" outlineLevel="0" collapsed="false">
      <c r="A6" s="35" t="s">
        <v>115</v>
      </c>
      <c r="B6" s="36"/>
      <c r="C6" s="36"/>
      <c r="D6" s="36"/>
      <c r="E6" s="36"/>
      <c r="F6" s="36"/>
      <c r="G6" s="36"/>
      <c r="H6" s="36"/>
    </row>
    <row r="7" customFormat="false" ht="31.5" hidden="false" customHeight="true" outlineLevel="0" collapsed="false">
      <c r="A7" s="16" t="s">
        <v>116</v>
      </c>
      <c r="B7" s="12" t="s">
        <v>117</v>
      </c>
      <c r="C7" s="16" t="s">
        <v>118</v>
      </c>
      <c r="D7" s="37" t="n">
        <v>0.1</v>
      </c>
      <c r="E7" s="37" t="n">
        <v>0.1</v>
      </c>
      <c r="F7" s="37" t="n">
        <v>0.1</v>
      </c>
      <c r="G7" s="12" t="s">
        <v>119</v>
      </c>
      <c r="H7" s="16"/>
    </row>
    <row r="8" customFormat="false" ht="15" hidden="false" customHeight="false" outlineLevel="0" collapsed="false">
      <c r="A8" s="35" t="s">
        <v>120</v>
      </c>
      <c r="B8" s="36"/>
      <c r="C8" s="36"/>
      <c r="D8" s="36"/>
      <c r="E8" s="36"/>
      <c r="F8" s="36"/>
      <c r="G8" s="36"/>
      <c r="H8" s="36"/>
    </row>
    <row r="9" customFormat="false" ht="31.5" hidden="false" customHeight="true" outlineLevel="0" collapsed="false">
      <c r="A9" s="16" t="s">
        <v>121</v>
      </c>
      <c r="B9" s="12" t="s">
        <v>122</v>
      </c>
      <c r="C9" s="16" t="s">
        <v>123</v>
      </c>
      <c r="D9" s="38" t="n">
        <v>2500</v>
      </c>
      <c r="E9" s="38" t="n">
        <v>2500</v>
      </c>
      <c r="F9" s="38" t="n">
        <v>2500</v>
      </c>
      <c r="G9" s="12" t="s">
        <v>124</v>
      </c>
      <c r="H9" s="16"/>
    </row>
    <row r="10" customFormat="false" ht="31.5" hidden="false" customHeight="true" outlineLevel="0" collapsed="false">
      <c r="A10" s="16" t="s">
        <v>125</v>
      </c>
      <c r="B10" s="12" t="s">
        <v>126</v>
      </c>
      <c r="C10" s="16" t="s">
        <v>127</v>
      </c>
      <c r="D10" s="39" t="n">
        <v>10</v>
      </c>
      <c r="E10" s="39" t="n">
        <v>10</v>
      </c>
      <c r="F10" s="39" t="n">
        <v>10</v>
      </c>
      <c r="G10" s="12" t="s">
        <v>128</v>
      </c>
      <c r="H10" s="16" t="s">
        <v>129</v>
      </c>
    </row>
    <row r="11" customFormat="false" ht="19.5" hidden="false" customHeight="true" outlineLevel="0" collapsed="false">
      <c r="A11" s="16" t="s">
        <v>130</v>
      </c>
      <c r="B11" s="12" t="s">
        <v>131</v>
      </c>
      <c r="C11" s="16" t="s">
        <v>132</v>
      </c>
      <c r="D11" s="40" t="n">
        <v>20</v>
      </c>
      <c r="E11" s="40" t="n">
        <v>20</v>
      </c>
      <c r="F11" s="40" t="n">
        <v>20</v>
      </c>
      <c r="G11" s="12" t="s">
        <v>133</v>
      </c>
      <c r="H11" s="16" t="s">
        <v>129</v>
      </c>
    </row>
    <row r="12" customFormat="false" ht="19.5" hidden="false" customHeight="true" outlineLevel="0" collapsed="false">
      <c r="A12" s="16" t="s">
        <v>134</v>
      </c>
      <c r="B12" s="12" t="s">
        <v>135</v>
      </c>
      <c r="C12" s="16" t="s">
        <v>123</v>
      </c>
      <c r="D12" s="38" t="n">
        <v>75000</v>
      </c>
      <c r="E12" s="38" t="n">
        <v>75000</v>
      </c>
      <c r="F12" s="38" t="n">
        <v>75000</v>
      </c>
      <c r="G12" s="12" t="s">
        <v>136</v>
      </c>
      <c r="H12" s="16" t="s">
        <v>137</v>
      </c>
    </row>
    <row r="13" customFormat="false" ht="19.5" hidden="false" customHeight="true" outlineLevel="0" collapsed="false">
      <c r="A13" s="16" t="s">
        <v>138</v>
      </c>
      <c r="B13" s="12" t="s">
        <v>139</v>
      </c>
      <c r="C13" s="16" t="s">
        <v>123</v>
      </c>
      <c r="D13" s="38" t="n">
        <v>25000</v>
      </c>
      <c r="E13" s="38" t="n">
        <v>25000</v>
      </c>
      <c r="F13" s="38" t="n">
        <v>25000</v>
      </c>
      <c r="G13" s="12" t="s">
        <v>140</v>
      </c>
      <c r="H13" s="16" t="s">
        <v>141</v>
      </c>
    </row>
    <row r="14" customFormat="false" ht="19.5" hidden="false" customHeight="true" outlineLevel="0" collapsed="false">
      <c r="A14" s="16" t="s">
        <v>142</v>
      </c>
      <c r="B14" s="12" t="s">
        <v>143</v>
      </c>
      <c r="C14" s="16" t="s">
        <v>123</v>
      </c>
      <c r="D14" s="38" t="n">
        <v>12000</v>
      </c>
      <c r="E14" s="38" t="n">
        <v>12000</v>
      </c>
      <c r="F14" s="38" t="n">
        <v>12000</v>
      </c>
      <c r="G14" s="12" t="s">
        <v>144</v>
      </c>
      <c r="H14" s="16" t="s">
        <v>145</v>
      </c>
    </row>
    <row r="15" customFormat="false" ht="31.5" hidden="false" customHeight="true" outlineLevel="0" collapsed="false">
      <c r="A15" s="16" t="s">
        <v>146</v>
      </c>
      <c r="B15" s="12" t="s">
        <v>147</v>
      </c>
      <c r="C15" s="16" t="s">
        <v>123</v>
      </c>
      <c r="D15" s="38" t="n">
        <v>25000</v>
      </c>
      <c r="E15" s="38" t="n">
        <v>20000</v>
      </c>
      <c r="F15" s="38" t="n">
        <v>18000</v>
      </c>
      <c r="G15" s="12" t="s">
        <v>148</v>
      </c>
      <c r="H15" s="16" t="s">
        <v>149</v>
      </c>
    </row>
    <row r="16" customFormat="false" ht="15" hidden="false" customHeight="false" outlineLevel="0" collapsed="false">
      <c r="A16" s="35" t="s">
        <v>150</v>
      </c>
      <c r="B16" s="36"/>
      <c r="C16" s="36"/>
      <c r="D16" s="36"/>
      <c r="E16" s="36"/>
      <c r="F16" s="36"/>
      <c r="G16" s="36"/>
      <c r="H16" s="36"/>
    </row>
    <row r="17" customFormat="false" ht="19.5" hidden="false" customHeight="true" outlineLevel="0" collapsed="false">
      <c r="A17" s="16" t="s">
        <v>151</v>
      </c>
      <c r="B17" s="12" t="s">
        <v>152</v>
      </c>
      <c r="C17" s="16" t="s">
        <v>153</v>
      </c>
      <c r="D17" s="38" t="n">
        <v>45000</v>
      </c>
      <c r="E17" s="38" t="n">
        <v>40000</v>
      </c>
      <c r="F17" s="38" t="n">
        <v>36000</v>
      </c>
      <c r="G17" s="12" t="s">
        <v>154</v>
      </c>
      <c r="H17" s="16"/>
    </row>
    <row r="18" customFormat="false" ht="19.5" hidden="false" customHeight="true" outlineLevel="0" collapsed="false">
      <c r="A18" s="16" t="s">
        <v>155</v>
      </c>
      <c r="B18" s="12" t="s">
        <v>156</v>
      </c>
      <c r="C18" s="16" t="s">
        <v>153</v>
      </c>
      <c r="D18" s="38" t="n">
        <v>36000</v>
      </c>
      <c r="E18" s="38" t="n">
        <v>30000</v>
      </c>
      <c r="F18" s="38" t="n">
        <v>26000</v>
      </c>
      <c r="G18" s="12" t="s">
        <v>157</v>
      </c>
      <c r="H18" s="16" t="s">
        <v>158</v>
      </c>
    </row>
    <row r="19" customFormat="false" ht="19.5" hidden="false" customHeight="true" outlineLevel="0" collapsed="false">
      <c r="A19" s="16" t="s">
        <v>159</v>
      </c>
      <c r="B19" s="12" t="s">
        <v>160</v>
      </c>
      <c r="C19" s="16" t="s">
        <v>153</v>
      </c>
      <c r="D19" s="38" t="n">
        <v>24000</v>
      </c>
      <c r="E19" s="38" t="n">
        <v>24000</v>
      </c>
      <c r="F19" s="38" t="n">
        <v>24000</v>
      </c>
      <c r="G19" s="12" t="s">
        <v>161</v>
      </c>
      <c r="H19" s="16" t="s">
        <v>162</v>
      </c>
    </row>
    <row r="20" customFormat="false" ht="31.5" hidden="false" customHeight="true" outlineLevel="0" collapsed="false">
      <c r="A20" s="16" t="s">
        <v>163</v>
      </c>
      <c r="B20" s="12" t="s">
        <v>164</v>
      </c>
      <c r="C20" s="16" t="s">
        <v>127</v>
      </c>
      <c r="D20" s="39" t="n">
        <v>1.25</v>
      </c>
      <c r="E20" s="39" t="n">
        <v>1</v>
      </c>
      <c r="F20" s="39" t="n">
        <v>1</v>
      </c>
      <c r="G20" s="12" t="s">
        <v>165</v>
      </c>
      <c r="H20" s="16"/>
    </row>
    <row r="21" customFormat="false" ht="19.5" hidden="false" customHeight="true" outlineLevel="0" collapsed="false">
      <c r="A21" s="16" t="s">
        <v>166</v>
      </c>
      <c r="B21" s="12" t="s">
        <v>167</v>
      </c>
      <c r="C21" s="16" t="s">
        <v>153</v>
      </c>
      <c r="D21" s="38" t="n">
        <v>140000</v>
      </c>
      <c r="E21" s="38" t="n">
        <v>140000</v>
      </c>
      <c r="F21" s="38" t="n">
        <v>140000</v>
      </c>
      <c r="G21" s="12" t="s">
        <v>168</v>
      </c>
      <c r="H21" s="16"/>
    </row>
    <row r="22" customFormat="false" ht="15" hidden="false" customHeight="false" outlineLevel="0" collapsed="false">
      <c r="A22" s="35" t="s">
        <v>169</v>
      </c>
      <c r="B22" s="36"/>
      <c r="C22" s="36"/>
      <c r="D22" s="36"/>
      <c r="E22" s="36"/>
      <c r="F22" s="36"/>
      <c r="G22" s="36"/>
      <c r="H22" s="36"/>
    </row>
    <row r="23" customFormat="false" ht="31.5" hidden="false" customHeight="true" outlineLevel="0" collapsed="false">
      <c r="A23" s="16" t="s">
        <v>170</v>
      </c>
      <c r="B23" s="12" t="s">
        <v>171</v>
      </c>
      <c r="C23" s="16" t="s">
        <v>172</v>
      </c>
      <c r="D23" s="41" t="n">
        <v>90000</v>
      </c>
      <c r="E23" s="41" t="n">
        <v>100000</v>
      </c>
      <c r="F23" s="41" t="n">
        <v>110000</v>
      </c>
      <c r="G23" s="12" t="s">
        <v>173</v>
      </c>
      <c r="H23" s="16" t="s">
        <v>174</v>
      </c>
    </row>
    <row r="24" customFormat="false" ht="19.5" hidden="false" customHeight="true" outlineLevel="0" collapsed="false">
      <c r="A24" s="16" t="s">
        <v>175</v>
      </c>
      <c r="B24" s="12" t="s">
        <v>176</v>
      </c>
      <c r="C24" s="16" t="s">
        <v>177</v>
      </c>
      <c r="D24" s="40" t="n">
        <v>42</v>
      </c>
      <c r="E24" s="40" t="n">
        <v>42</v>
      </c>
      <c r="F24" s="40" t="n">
        <v>42</v>
      </c>
      <c r="G24" s="12" t="s">
        <v>178</v>
      </c>
      <c r="H24" s="16" t="s">
        <v>179</v>
      </c>
    </row>
    <row r="25" customFormat="false" ht="19.5" hidden="false" customHeight="true" outlineLevel="0" collapsed="false">
      <c r="A25" s="16" t="s">
        <v>180</v>
      </c>
      <c r="B25" s="12" t="s">
        <v>181</v>
      </c>
      <c r="C25" s="16" t="s">
        <v>177</v>
      </c>
      <c r="D25" s="40" t="n">
        <v>30</v>
      </c>
      <c r="E25" s="40" t="n">
        <v>25</v>
      </c>
      <c r="F25" s="40" t="n">
        <v>22</v>
      </c>
      <c r="G25" s="12" t="s">
        <v>182</v>
      </c>
      <c r="H25" s="16" t="s">
        <v>179</v>
      </c>
    </row>
    <row r="26" customFormat="false" ht="19.5" hidden="false" customHeight="true" outlineLevel="0" collapsed="false">
      <c r="A26" s="16" t="s">
        <v>183</v>
      </c>
      <c r="B26" s="12" t="s">
        <v>184</v>
      </c>
      <c r="C26" s="16" t="s">
        <v>123</v>
      </c>
      <c r="D26" s="38" t="n">
        <v>38</v>
      </c>
      <c r="E26" s="38" t="n">
        <v>38</v>
      </c>
      <c r="F26" s="38" t="n">
        <v>38</v>
      </c>
      <c r="G26" s="12" t="s">
        <v>185</v>
      </c>
      <c r="H26" s="16"/>
    </row>
    <row r="27" customFormat="false" ht="31.5" hidden="false" customHeight="true" outlineLevel="0" collapsed="false">
      <c r="A27" s="16" t="s">
        <v>186</v>
      </c>
      <c r="B27" s="12" t="s">
        <v>187</v>
      </c>
      <c r="C27" s="16" t="s">
        <v>118</v>
      </c>
      <c r="D27" s="37" t="n">
        <v>0.6</v>
      </c>
      <c r="E27" s="37" t="n">
        <v>0.8</v>
      </c>
      <c r="F27" s="37" t="n">
        <v>1</v>
      </c>
      <c r="G27" s="12" t="s">
        <v>188</v>
      </c>
      <c r="H27" s="16" t="s">
        <v>189</v>
      </c>
    </row>
    <row r="28" customFormat="false" ht="15" hidden="false" customHeight="false" outlineLevel="0" collapsed="false">
      <c r="A28" s="35" t="s">
        <v>190</v>
      </c>
      <c r="B28" s="36"/>
      <c r="C28" s="36"/>
      <c r="D28" s="36"/>
      <c r="E28" s="36"/>
      <c r="F28" s="36"/>
      <c r="G28" s="36"/>
      <c r="H28" s="36"/>
    </row>
    <row r="29" customFormat="false" ht="19.5" hidden="false" customHeight="true" outlineLevel="0" collapsed="false">
      <c r="A29" s="16" t="s">
        <v>191</v>
      </c>
      <c r="B29" s="12" t="s">
        <v>192</v>
      </c>
      <c r="C29" s="16" t="s">
        <v>172</v>
      </c>
      <c r="D29" s="41" t="n">
        <v>25000</v>
      </c>
      <c r="E29" s="41" t="n">
        <v>25000</v>
      </c>
      <c r="F29" s="41" t="n">
        <v>25000</v>
      </c>
      <c r="G29" s="12" t="s">
        <v>193</v>
      </c>
      <c r="H29" s="16" t="s">
        <v>194</v>
      </c>
    </row>
    <row r="30" customFormat="false" ht="31.5" hidden="false" customHeight="true" outlineLevel="0" collapsed="false">
      <c r="A30" s="16" t="s">
        <v>195</v>
      </c>
      <c r="B30" s="12" t="s">
        <v>196</v>
      </c>
      <c r="C30" s="16" t="s">
        <v>172</v>
      </c>
      <c r="D30" s="41" t="n">
        <v>14</v>
      </c>
      <c r="E30" s="41" t="n">
        <v>14</v>
      </c>
      <c r="F30" s="41" t="n">
        <v>14</v>
      </c>
      <c r="G30" s="12" t="s">
        <v>197</v>
      </c>
      <c r="H30" s="16" t="s">
        <v>198</v>
      </c>
    </row>
    <row r="31" customFormat="false" ht="31.5" hidden="false" customHeight="true" outlineLevel="0" collapsed="false">
      <c r="A31" s="16" t="s">
        <v>199</v>
      </c>
      <c r="B31" s="12" t="s">
        <v>200</v>
      </c>
      <c r="C31" s="16" t="s">
        <v>172</v>
      </c>
      <c r="D31" s="41" t="n">
        <v>11</v>
      </c>
      <c r="E31" s="41" t="n">
        <v>8</v>
      </c>
      <c r="F31" s="41" t="n">
        <v>7</v>
      </c>
      <c r="G31" s="12" t="s">
        <v>201</v>
      </c>
      <c r="H31" s="16" t="s">
        <v>198</v>
      </c>
    </row>
    <row r="32" customFormat="false" ht="19.5" hidden="false" customHeight="true" outlineLevel="0" collapsed="false">
      <c r="A32" s="16" t="s">
        <v>202</v>
      </c>
      <c r="B32" s="12" t="s">
        <v>203</v>
      </c>
      <c r="C32" s="16" t="s">
        <v>123</v>
      </c>
      <c r="D32" s="42" t="n">
        <v>6.5</v>
      </c>
      <c r="E32" s="42" t="n">
        <v>6.5</v>
      </c>
      <c r="F32" s="42" t="n">
        <v>6.5</v>
      </c>
      <c r="G32" s="12" t="s">
        <v>204</v>
      </c>
      <c r="H32" s="16"/>
    </row>
    <row r="33" customFormat="false" ht="15" hidden="false" customHeight="false" outlineLevel="0" collapsed="false">
      <c r="A33" s="35" t="s">
        <v>205</v>
      </c>
      <c r="B33" s="36"/>
      <c r="C33" s="36"/>
      <c r="D33" s="36"/>
      <c r="E33" s="36"/>
      <c r="F33" s="36"/>
      <c r="G33" s="36"/>
      <c r="H33" s="36"/>
    </row>
    <row r="34" customFormat="false" ht="31.5" hidden="false" customHeight="true" outlineLevel="0" collapsed="false">
      <c r="A34" s="16" t="s">
        <v>206</v>
      </c>
      <c r="B34" s="12" t="s">
        <v>207</v>
      </c>
      <c r="C34" s="16" t="s">
        <v>208</v>
      </c>
      <c r="D34" s="37" t="n">
        <v>0.004</v>
      </c>
      <c r="E34" s="37" t="n">
        <v>0.004</v>
      </c>
      <c r="F34" s="37" t="n">
        <v>0.004</v>
      </c>
      <c r="G34" s="12" t="s">
        <v>209</v>
      </c>
      <c r="H34" s="16"/>
    </row>
    <row r="35" customFormat="false" ht="31.5" hidden="false" customHeight="true" outlineLevel="0" collapsed="false">
      <c r="A35" s="16" t="s">
        <v>210</v>
      </c>
      <c r="B35" s="12" t="s">
        <v>211</v>
      </c>
      <c r="C35" s="16" t="s">
        <v>118</v>
      </c>
      <c r="D35" s="37" t="n">
        <v>0.15</v>
      </c>
      <c r="E35" s="37" t="n">
        <v>0.25</v>
      </c>
      <c r="F35" s="37" t="n">
        <v>0.35</v>
      </c>
      <c r="G35" s="12" t="s">
        <v>212</v>
      </c>
      <c r="H35" s="16" t="s">
        <v>213</v>
      </c>
    </row>
    <row r="36" customFormat="false" ht="19.5" hidden="false" customHeight="true" outlineLevel="0" collapsed="false">
      <c r="A36" s="16" t="s">
        <v>214</v>
      </c>
      <c r="B36" s="12" t="s">
        <v>215</v>
      </c>
      <c r="C36" s="16" t="s">
        <v>123</v>
      </c>
      <c r="D36" s="38" t="n">
        <v>1800</v>
      </c>
      <c r="E36" s="38" t="n">
        <v>1800</v>
      </c>
      <c r="F36" s="38" t="n">
        <v>1800</v>
      </c>
      <c r="G36" s="12" t="s">
        <v>216</v>
      </c>
      <c r="H36" s="16"/>
    </row>
    <row r="37" customFormat="false" ht="31.5" hidden="false" customHeight="true" outlineLevel="0" collapsed="false">
      <c r="A37" s="16" t="s">
        <v>217</v>
      </c>
      <c r="B37" s="12" t="s">
        <v>218</v>
      </c>
      <c r="C37" s="16" t="s">
        <v>153</v>
      </c>
      <c r="D37" s="38" t="n">
        <v>300000</v>
      </c>
      <c r="E37" s="38" t="n">
        <v>300000</v>
      </c>
      <c r="F37" s="38" t="n">
        <v>300000</v>
      </c>
      <c r="G37" s="12" t="s">
        <v>219</v>
      </c>
      <c r="H37" s="16"/>
    </row>
    <row r="38" customFormat="false" ht="19.5" hidden="false" customHeight="true" outlineLevel="0" collapsed="false">
      <c r="A38" s="16" t="s">
        <v>220</v>
      </c>
      <c r="B38" s="12" t="s">
        <v>221</v>
      </c>
      <c r="C38" s="16" t="s">
        <v>118</v>
      </c>
      <c r="D38" s="37" t="n">
        <v>0.05</v>
      </c>
      <c r="E38" s="37" t="n">
        <v>0.1</v>
      </c>
      <c r="F38" s="37" t="n">
        <v>0.15</v>
      </c>
      <c r="G38" s="12" t="s">
        <v>222</v>
      </c>
      <c r="H38" s="16" t="s">
        <v>223</v>
      </c>
    </row>
    <row r="39" customFormat="false" ht="31.5" hidden="false" customHeight="true" outlineLevel="0" collapsed="false">
      <c r="A39" s="16" t="s">
        <v>224</v>
      </c>
      <c r="B39" s="12" t="s">
        <v>225</v>
      </c>
      <c r="C39" s="16" t="s">
        <v>118</v>
      </c>
      <c r="D39" s="37" t="n">
        <v>0.4</v>
      </c>
      <c r="E39" s="37" t="n">
        <v>0.5</v>
      </c>
      <c r="F39" s="37" t="n">
        <v>0.6</v>
      </c>
      <c r="G39" s="12" t="s">
        <v>226</v>
      </c>
      <c r="H39" s="16"/>
    </row>
    <row r="40" customFormat="false" ht="15" hidden="false" customHeight="false" outlineLevel="0" collapsed="false">
      <c r="A40" s="35" t="s">
        <v>227</v>
      </c>
      <c r="B40" s="36"/>
      <c r="C40" s="36"/>
      <c r="D40" s="36"/>
      <c r="E40" s="36"/>
      <c r="F40" s="36"/>
      <c r="G40" s="36"/>
      <c r="H40" s="36"/>
    </row>
    <row r="41" customFormat="false" ht="31.5" hidden="false" customHeight="true" outlineLevel="0" collapsed="false">
      <c r="A41" s="16" t="s">
        <v>228</v>
      </c>
      <c r="B41" s="12" t="s">
        <v>229</v>
      </c>
      <c r="C41" s="16" t="s">
        <v>118</v>
      </c>
      <c r="D41" s="37" t="n">
        <v>0.25</v>
      </c>
      <c r="E41" s="37" t="n">
        <v>0.35</v>
      </c>
      <c r="F41" s="37" t="n">
        <v>0.45</v>
      </c>
      <c r="G41" s="12" t="s">
        <v>230</v>
      </c>
      <c r="H41" s="16" t="s">
        <v>231</v>
      </c>
    </row>
    <row r="42" customFormat="false" ht="31.5" hidden="false" customHeight="true" outlineLevel="0" collapsed="false">
      <c r="A42" s="16" t="s">
        <v>232</v>
      </c>
      <c r="B42" s="12" t="s">
        <v>233</v>
      </c>
      <c r="C42" s="16" t="s">
        <v>118</v>
      </c>
      <c r="D42" s="37" t="n">
        <v>0.45</v>
      </c>
      <c r="E42" s="37" t="n">
        <v>0.6</v>
      </c>
      <c r="F42" s="37" t="n">
        <v>0.7</v>
      </c>
      <c r="G42" s="12" t="s">
        <v>234</v>
      </c>
      <c r="H42" s="16" t="s">
        <v>231</v>
      </c>
    </row>
    <row r="43" customFormat="false" ht="19.5" hidden="false" customHeight="true" outlineLevel="0" collapsed="false">
      <c r="A43" s="16" t="s">
        <v>235</v>
      </c>
      <c r="B43" s="12" t="s">
        <v>236</v>
      </c>
      <c r="C43" s="16" t="s">
        <v>118</v>
      </c>
      <c r="D43" s="37" t="n">
        <v>0.55</v>
      </c>
      <c r="E43" s="37" t="n">
        <v>0.7</v>
      </c>
      <c r="F43" s="37" t="n">
        <v>0.8</v>
      </c>
      <c r="G43" s="12" t="s">
        <v>237</v>
      </c>
      <c r="H43" s="16" t="s">
        <v>231</v>
      </c>
    </row>
    <row r="44" customFormat="false" ht="15" hidden="false" customHeight="false" outlineLevel="0" collapsed="false">
      <c r="A44" s="35" t="s">
        <v>238</v>
      </c>
      <c r="B44" s="36"/>
      <c r="C44" s="36"/>
      <c r="D44" s="36"/>
      <c r="E44" s="36"/>
      <c r="F44" s="36"/>
      <c r="G44" s="36"/>
      <c r="H44" s="36"/>
    </row>
    <row r="45" customFormat="false" ht="19.5" hidden="false" customHeight="true" outlineLevel="0" collapsed="false">
      <c r="A45" s="16" t="s">
        <v>239</v>
      </c>
      <c r="B45" s="12" t="s">
        <v>240</v>
      </c>
      <c r="C45" s="16" t="s">
        <v>123</v>
      </c>
      <c r="D45" s="38" t="n">
        <v>95</v>
      </c>
      <c r="E45" s="38" t="n">
        <v>95</v>
      </c>
      <c r="F45" s="38" t="n">
        <v>95</v>
      </c>
      <c r="G45" s="12" t="s">
        <v>241</v>
      </c>
      <c r="H45" s="16"/>
    </row>
    <row r="46" customFormat="false" ht="31.5" hidden="false" customHeight="true" outlineLevel="0" collapsed="false">
      <c r="A46" s="16" t="s">
        <v>242</v>
      </c>
      <c r="B46" s="12" t="s">
        <v>243</v>
      </c>
      <c r="C46" s="16" t="s">
        <v>118</v>
      </c>
      <c r="D46" s="37" t="n">
        <v>0.8</v>
      </c>
      <c r="E46" s="37" t="n">
        <v>0.8</v>
      </c>
      <c r="F46" s="37" t="n">
        <v>0.8</v>
      </c>
      <c r="G46" s="12" t="s">
        <v>244</v>
      </c>
      <c r="H46" s="16" t="s">
        <v>245</v>
      </c>
    </row>
    <row r="47" customFormat="false" ht="19.5" hidden="false" customHeight="true" outlineLevel="0" collapsed="false">
      <c r="A47" s="16" t="s">
        <v>246</v>
      </c>
      <c r="B47" s="12" t="s">
        <v>247</v>
      </c>
      <c r="C47" s="16" t="s">
        <v>118</v>
      </c>
      <c r="D47" s="37" t="n">
        <v>0.38</v>
      </c>
      <c r="E47" s="37" t="n">
        <v>0.38</v>
      </c>
      <c r="F47" s="37" t="n">
        <v>0.38</v>
      </c>
      <c r="G47" s="12" t="s">
        <v>248</v>
      </c>
      <c r="H47" s="16" t="s">
        <v>249</v>
      </c>
    </row>
    <row r="48" customFormat="false" ht="19.5" hidden="false" customHeight="true" outlineLevel="0" collapsed="false">
      <c r="A48" s="16" t="s">
        <v>250</v>
      </c>
      <c r="B48" s="12" t="s">
        <v>251</v>
      </c>
      <c r="C48" s="16" t="s">
        <v>118</v>
      </c>
      <c r="D48" s="37" t="n">
        <v>0.41</v>
      </c>
      <c r="E48" s="37" t="n">
        <v>0.45</v>
      </c>
      <c r="F48" s="37" t="n">
        <v>0.47</v>
      </c>
      <c r="G48" s="12" t="s">
        <v>252</v>
      </c>
      <c r="H48" s="16" t="s">
        <v>253</v>
      </c>
    </row>
    <row r="49" customFormat="false" ht="19.5" hidden="false" customHeight="true" outlineLevel="0" collapsed="false">
      <c r="A49" s="16" t="s">
        <v>254</v>
      </c>
      <c r="B49" s="12" t="s">
        <v>255</v>
      </c>
      <c r="C49" s="16" t="s">
        <v>118</v>
      </c>
      <c r="D49" s="37" t="n">
        <v>0.09</v>
      </c>
      <c r="E49" s="37" t="n">
        <v>0.09</v>
      </c>
      <c r="F49" s="37" t="n">
        <v>0.09</v>
      </c>
      <c r="G49" s="12" t="s">
        <v>256</v>
      </c>
      <c r="H49" s="16" t="s">
        <v>223</v>
      </c>
    </row>
    <row r="50" customFormat="false" ht="19.5" hidden="false" customHeight="true" outlineLevel="0" collapsed="false">
      <c r="A50" s="16" t="s">
        <v>257</v>
      </c>
      <c r="B50" s="12" t="s">
        <v>258</v>
      </c>
      <c r="C50" s="16" t="s">
        <v>118</v>
      </c>
      <c r="D50" s="37" t="n">
        <v>0.05</v>
      </c>
      <c r="E50" s="37" t="n">
        <v>0.03</v>
      </c>
      <c r="F50" s="37" t="n">
        <v>0.02</v>
      </c>
      <c r="G50" s="12" t="s">
        <v>259</v>
      </c>
      <c r="H50" s="16" t="s">
        <v>223</v>
      </c>
    </row>
    <row r="52" customFormat="false" ht="15" hidden="false" customHeight="false" outlineLevel="0" collapsed="false">
      <c r="A52" s="34" t="s">
        <v>260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2"/>
    <col collapsed="false" customWidth="true" hidden="false" outlineLevel="0" max="6" min="3" style="0" width="14"/>
    <col collapsed="false" customWidth="true" hidden="false" outlineLevel="0" max="7" min="7" style="0" width="15"/>
  </cols>
  <sheetData>
    <row r="1" customFormat="false" ht="19.7" hidden="false" customHeight="false" outlineLevel="0" collapsed="false">
      <c r="A1" s="33" t="s">
        <v>261</v>
      </c>
    </row>
    <row r="2" customFormat="false" ht="15" hidden="false" customHeight="false" outlineLevel="0" collapsed="false">
      <c r="A2" s="19" t="s">
        <v>262</v>
      </c>
    </row>
    <row r="3" customFormat="false" ht="15" hidden="false" customHeight="false" outlineLevel="0" collapsed="false">
      <c r="A3" s="34" t="s">
        <v>263</v>
      </c>
    </row>
    <row r="5" customFormat="false" ht="19.5" hidden="false" customHeight="true" outlineLevel="0" collapsed="false">
      <c r="A5" s="7" t="s">
        <v>264</v>
      </c>
      <c r="B5" s="8"/>
      <c r="C5" s="8"/>
      <c r="D5" s="8"/>
      <c r="E5" s="8"/>
      <c r="F5" s="8"/>
      <c r="G5" s="8"/>
    </row>
    <row r="6" customFormat="false" ht="24" hidden="false" customHeight="true" outlineLevel="0" collapsed="false">
      <c r="A6" s="10" t="s">
        <v>265</v>
      </c>
      <c r="B6" s="10" t="s">
        <v>71</v>
      </c>
      <c r="C6" s="10" t="s">
        <v>61</v>
      </c>
      <c r="D6" s="10" t="s">
        <v>62</v>
      </c>
      <c r="E6" s="10" t="s">
        <v>63</v>
      </c>
      <c r="F6" s="10" t="s">
        <v>64</v>
      </c>
      <c r="G6" s="10" t="s">
        <v>72</v>
      </c>
    </row>
    <row r="7" customFormat="false" ht="15" hidden="false" customHeight="false" outlineLevel="0" collapsed="false">
      <c r="A7" s="12" t="s">
        <v>266</v>
      </c>
      <c r="B7" s="16" t="s">
        <v>267</v>
      </c>
      <c r="C7" s="22" t="n">
        <v>0</v>
      </c>
      <c r="D7" s="22" t="n">
        <f aca="false">Assumptions!$D$41</f>
        <v>0.25</v>
      </c>
      <c r="E7" s="22" t="n">
        <f aca="false">Assumptions!$D$42</f>
        <v>0.45</v>
      </c>
      <c r="F7" s="22" t="n">
        <f aca="false">Assumptions!$D$43</f>
        <v>0.55</v>
      </c>
      <c r="G7" s="12"/>
    </row>
    <row r="8" customFormat="false" ht="15" hidden="false" customHeight="false" outlineLevel="0" collapsed="false">
      <c r="A8" s="43" t="s">
        <v>268</v>
      </c>
      <c r="B8" s="44"/>
      <c r="C8" s="44"/>
      <c r="D8" s="44"/>
      <c r="E8" s="44"/>
      <c r="F8" s="44"/>
      <c r="G8" s="44"/>
    </row>
    <row r="9" customFormat="false" ht="15" hidden="false" customHeight="false" outlineLevel="0" collapsed="false">
      <c r="A9" s="12" t="s">
        <v>269</v>
      </c>
      <c r="B9" s="16" t="s">
        <v>75</v>
      </c>
      <c r="C9" s="45" t="n">
        <f aca="false">Assumptions!$D$23*C7*(Assumptions!$D$24-Assumptions!$D$25)/60*Assumptions!$D$26*Assumptions!$D$27</f>
        <v>0</v>
      </c>
      <c r="D9" s="45" t="n">
        <f aca="false">Assumptions!$D$23*D7*(Assumptions!$D$24-Assumptions!$D$25)/60*Assumptions!$D$26*Assumptions!$D$27</f>
        <v>102600</v>
      </c>
      <c r="E9" s="45" t="n">
        <f aca="false">Assumptions!$D$23*E7*(Assumptions!$D$24-Assumptions!$D$25)/60*Assumptions!$D$26*Assumptions!$D$27</f>
        <v>184680</v>
      </c>
      <c r="F9" s="45" t="n">
        <f aca="false">Assumptions!$D$23*F7*(Assumptions!$D$24-Assumptions!$D$25)/60*Assumptions!$D$26*Assumptions!$D$27</f>
        <v>225720</v>
      </c>
      <c r="G9" s="46" t="n">
        <f aca="false">SUM(C9:F9)</f>
        <v>513000</v>
      </c>
    </row>
    <row r="10" customFormat="false" ht="15" hidden="false" customHeight="false" outlineLevel="0" collapsed="false">
      <c r="A10" s="12" t="s">
        <v>76</v>
      </c>
      <c r="B10" s="16" t="s">
        <v>75</v>
      </c>
      <c r="C10" s="45" t="n">
        <f aca="false">Assumptions!$D$29*(Assumptions!$D$30-Assumptions!$D$31)/100*12*C7*Assumptions!$D$32</f>
        <v>0</v>
      </c>
      <c r="D10" s="45" t="n">
        <f aca="false">Assumptions!$D$29*(Assumptions!$D$30-Assumptions!$D$31)/100*12*D7*Assumptions!$D$32</f>
        <v>14625</v>
      </c>
      <c r="E10" s="45" t="n">
        <f aca="false">Assumptions!$D$29*(Assumptions!$D$30-Assumptions!$D$31)/100*12*E7*Assumptions!$D$32</f>
        <v>26325</v>
      </c>
      <c r="F10" s="45" t="n">
        <f aca="false">Assumptions!$D$29*(Assumptions!$D$30-Assumptions!$D$31)/100*12*F7*Assumptions!$D$32</f>
        <v>32175</v>
      </c>
      <c r="G10" s="46" t="n">
        <f aca="false">SUM(C10:F10)</f>
        <v>73125</v>
      </c>
    </row>
    <row r="11" customFormat="false" ht="15" hidden="false" customHeight="false" outlineLevel="0" collapsed="false">
      <c r="A11" s="12" t="s">
        <v>270</v>
      </c>
      <c r="B11" s="16" t="s">
        <v>78</v>
      </c>
      <c r="C11" s="45" t="n">
        <f aca="false">Assumptions!$D$29*Assumptions!$D$34*Assumptions!$D$35*Assumptions!$D$36*C7*Assumptions!$D$39</f>
        <v>0</v>
      </c>
      <c r="D11" s="45" t="n">
        <f aca="false">Assumptions!$D$29*Assumptions!$D$34*Assumptions!$D$35*Assumptions!$D$36*D7*Assumptions!$D$39</f>
        <v>2700</v>
      </c>
      <c r="E11" s="45" t="n">
        <f aca="false">Assumptions!$D$29*Assumptions!$D$34*Assumptions!$D$35*Assumptions!$D$36*E7*Assumptions!$D$39</f>
        <v>4860</v>
      </c>
      <c r="F11" s="45" t="n">
        <f aca="false">Assumptions!$D$29*Assumptions!$D$34*Assumptions!$D$35*Assumptions!$D$36*F7*Assumptions!$D$39</f>
        <v>5940</v>
      </c>
      <c r="G11" s="46" t="n">
        <f aca="false">SUM(C11:F11)</f>
        <v>13500</v>
      </c>
    </row>
    <row r="12" customFormat="false" ht="15" hidden="false" customHeight="false" outlineLevel="0" collapsed="false">
      <c r="A12" s="12" t="s">
        <v>79</v>
      </c>
      <c r="B12" s="16" t="s">
        <v>78</v>
      </c>
      <c r="C12" s="45" t="n">
        <f aca="false">Assumptions!$D$37*Assumptions!$D$38*C7*Assumptions!$D$39</f>
        <v>0</v>
      </c>
      <c r="D12" s="45" t="n">
        <f aca="false">Assumptions!$D$37*Assumptions!$D$38*D7*Assumptions!$D$39</f>
        <v>1500</v>
      </c>
      <c r="E12" s="45" t="n">
        <f aca="false">Assumptions!$D$37*Assumptions!$D$38*E7*Assumptions!$D$39</f>
        <v>2700</v>
      </c>
      <c r="F12" s="45" t="n">
        <f aca="false">Assumptions!$D$37*Assumptions!$D$38*F7*Assumptions!$D$39</f>
        <v>3300</v>
      </c>
      <c r="G12" s="46" t="n">
        <f aca="false">SUM(C12:F12)</f>
        <v>7500</v>
      </c>
    </row>
    <row r="13" customFormat="false" ht="15" hidden="false" customHeight="false" outlineLevel="0" collapsed="false">
      <c r="A13" s="11" t="s">
        <v>65</v>
      </c>
      <c r="B13" s="16"/>
      <c r="C13" s="46" t="n">
        <f aca="false">SUM(C9:C12)</f>
        <v>0</v>
      </c>
      <c r="D13" s="46" t="n">
        <f aca="false">SUM(D9:D12)</f>
        <v>121425</v>
      </c>
      <c r="E13" s="46" t="n">
        <f aca="false">SUM(E9:E12)</f>
        <v>218565</v>
      </c>
      <c r="F13" s="46" t="n">
        <f aca="false">SUM(F9:F12)</f>
        <v>267135</v>
      </c>
      <c r="G13" s="46" t="n">
        <f aca="false">SUM(C13:F13)</f>
        <v>607125</v>
      </c>
    </row>
    <row r="14" customFormat="false" ht="15" hidden="false" customHeight="false" outlineLevel="0" collapsed="false">
      <c r="A14" s="43" t="s">
        <v>271</v>
      </c>
      <c r="B14" s="44"/>
      <c r="C14" s="44"/>
      <c r="D14" s="44"/>
      <c r="E14" s="44"/>
      <c r="F14" s="44"/>
      <c r="G14" s="44"/>
    </row>
    <row r="15" customFormat="false" ht="15" hidden="false" customHeight="false" outlineLevel="0" collapsed="false">
      <c r="A15" s="12" t="s">
        <v>272</v>
      </c>
      <c r="B15" s="16" t="s">
        <v>273</v>
      </c>
      <c r="C15" s="45" t="n">
        <f aca="false">Assumptions!$D$10*Assumptions!$D$11*Assumptions!$D$9</f>
        <v>500000</v>
      </c>
      <c r="D15" s="45" t="n">
        <v>0</v>
      </c>
      <c r="E15" s="45" t="n">
        <v>0</v>
      </c>
      <c r="F15" s="45" t="n">
        <v>0</v>
      </c>
      <c r="G15" s="46" t="n">
        <f aca="false">SUM(C15:F15)</f>
        <v>500000</v>
      </c>
    </row>
    <row r="16" customFormat="false" ht="15" hidden="false" customHeight="false" outlineLevel="0" collapsed="false">
      <c r="A16" s="12" t="s">
        <v>135</v>
      </c>
      <c r="B16" s="16" t="s">
        <v>273</v>
      </c>
      <c r="C16" s="45" t="n">
        <f aca="false">Assumptions!$D$12</f>
        <v>75000</v>
      </c>
      <c r="D16" s="45" t="n">
        <v>0</v>
      </c>
      <c r="E16" s="45" t="n">
        <v>0</v>
      </c>
      <c r="F16" s="45" t="n">
        <v>0</v>
      </c>
      <c r="G16" s="46" t="n">
        <f aca="false">SUM(C16:F16)</f>
        <v>75000</v>
      </c>
    </row>
    <row r="17" customFormat="false" ht="15" hidden="false" customHeight="false" outlineLevel="0" collapsed="false">
      <c r="A17" s="12" t="s">
        <v>274</v>
      </c>
      <c r="B17" s="16" t="s">
        <v>273</v>
      </c>
      <c r="C17" s="45" t="n">
        <f aca="false">Assumptions!$D$13+Assumptions!$D$14</f>
        <v>37000</v>
      </c>
      <c r="D17" s="45" t="n">
        <v>0</v>
      </c>
      <c r="E17" s="45" t="n">
        <v>0</v>
      </c>
      <c r="F17" s="45" t="n">
        <v>0</v>
      </c>
      <c r="G17" s="46" t="n">
        <f aca="false">SUM(C17:F17)</f>
        <v>37000</v>
      </c>
    </row>
    <row r="18" customFormat="false" ht="15" hidden="false" customHeight="false" outlineLevel="0" collapsed="false">
      <c r="A18" s="12" t="s">
        <v>275</v>
      </c>
      <c r="B18" s="16" t="s">
        <v>273</v>
      </c>
      <c r="C18" s="45" t="n">
        <v>0</v>
      </c>
      <c r="D18" s="45" t="n">
        <f aca="false">Assumptions!$D$15</f>
        <v>25000</v>
      </c>
      <c r="E18" s="45" t="n">
        <v>0</v>
      </c>
      <c r="F18" s="45" t="n">
        <v>0</v>
      </c>
      <c r="G18" s="46" t="n">
        <f aca="false">SUM(C18:F18)</f>
        <v>25000</v>
      </c>
    </row>
    <row r="19" customFormat="false" ht="15" hidden="false" customHeight="false" outlineLevel="0" collapsed="false">
      <c r="A19" s="12" t="s">
        <v>276</v>
      </c>
      <c r="B19" s="16" t="s">
        <v>277</v>
      </c>
      <c r="C19" s="45" t="n">
        <v>0</v>
      </c>
      <c r="D19" s="45" t="n">
        <f aca="false">Assumptions!$D$17+Assumptions!$D$18+Assumptions!$D$19+Assumptions!$D$20*Assumptions!$D$21</f>
        <v>280000</v>
      </c>
      <c r="E19" s="45" t="n">
        <f aca="false">Assumptions!$D$17+Assumptions!$D$18+Assumptions!$D$19+Assumptions!$D$20*Assumptions!$D$21</f>
        <v>280000</v>
      </c>
      <c r="F19" s="45" t="n">
        <f aca="false">Assumptions!$D$17+Assumptions!$D$18+Assumptions!$D$19+Assumptions!$D$20*Assumptions!$D$21</f>
        <v>280000</v>
      </c>
      <c r="G19" s="46" t="n">
        <f aca="false">SUM(C19:F19)</f>
        <v>840000</v>
      </c>
    </row>
    <row r="20" customFormat="false" ht="15" hidden="false" customHeight="false" outlineLevel="0" collapsed="false">
      <c r="A20" s="11" t="s">
        <v>66</v>
      </c>
      <c r="B20" s="16"/>
      <c r="C20" s="46" t="n">
        <f aca="false">SUM(C15:C19)</f>
        <v>612000</v>
      </c>
      <c r="D20" s="46" t="n">
        <f aca="false">SUM(D15:D19)</f>
        <v>305000</v>
      </c>
      <c r="E20" s="46" t="n">
        <f aca="false">SUM(E15:E19)</f>
        <v>280000</v>
      </c>
      <c r="F20" s="46" t="n">
        <f aca="false">SUM(F15:F19)</f>
        <v>280000</v>
      </c>
      <c r="G20" s="46" t="n">
        <f aca="false">SUM(C20:F20)</f>
        <v>1477000</v>
      </c>
    </row>
    <row r="21" customFormat="false" ht="15" hidden="false" customHeight="false" outlineLevel="0" collapsed="false">
      <c r="A21" s="47" t="s">
        <v>67</v>
      </c>
      <c r="B21" s="48"/>
      <c r="C21" s="49" t="n">
        <f aca="false">C13-C20</f>
        <v>-612000</v>
      </c>
      <c r="D21" s="49" t="n">
        <f aca="false">D13-D20</f>
        <v>-183575</v>
      </c>
      <c r="E21" s="49" t="n">
        <f aca="false">E13-E20</f>
        <v>-61435</v>
      </c>
      <c r="F21" s="49" t="n">
        <f aca="false">F13-F20</f>
        <v>-12864.9999999999</v>
      </c>
      <c r="G21" s="49" t="n">
        <f aca="false">SUM(C21:F21)</f>
        <v>-869875</v>
      </c>
    </row>
    <row r="22" customFormat="false" ht="15" hidden="false" customHeight="false" outlineLevel="0" collapsed="false">
      <c r="A22" s="11" t="s">
        <v>68</v>
      </c>
      <c r="B22" s="16"/>
      <c r="C22" s="46" t="n">
        <f aca="false">C21</f>
        <v>-612000</v>
      </c>
      <c r="D22" s="46" t="n">
        <f aca="false">C22+D21</f>
        <v>-795575</v>
      </c>
      <c r="E22" s="46" t="n">
        <f aca="false">D22+E21</f>
        <v>-857010</v>
      </c>
      <c r="F22" s="46" t="n">
        <f aca="false">E22+F21</f>
        <v>-869875</v>
      </c>
      <c r="G22" s="12"/>
    </row>
    <row r="24" customFormat="false" ht="19.5" hidden="false" customHeight="true" outlineLevel="0" collapsed="false">
      <c r="A24" s="11" t="s">
        <v>278</v>
      </c>
      <c r="B24" s="16"/>
      <c r="C24" s="46" t="n">
        <f aca="false">C21+NPV(Assumptions!$D$7,D21:F21)</f>
        <v>-839324.75582269</v>
      </c>
    </row>
    <row r="25" customFormat="false" ht="19.5" hidden="false" customHeight="true" outlineLevel="0" collapsed="false">
      <c r="A25" s="11" t="s">
        <v>279</v>
      </c>
      <c r="B25" s="16"/>
      <c r="C25" s="50" t="n">
        <f aca="false">IFERROR((G13-G20)/G20,0)</f>
        <v>-0.588947190250508</v>
      </c>
    </row>
    <row r="26" customFormat="false" ht="19.5" hidden="false" customHeight="true" outlineLevel="0" collapsed="false">
      <c r="A26" s="11" t="s">
        <v>54</v>
      </c>
      <c r="B26" s="16"/>
      <c r="C26" s="51" t="str">
        <f aca="false">IF(D22&gt;=0,-C22/D21,IF(E22&gt;=0,1+(-D22)/E21,IF(F22&gt;=0,2+(-E22)/F21,"Beyond 3 years")))</f>
        <v>Beyond 3 years</v>
      </c>
    </row>
    <row r="27" customFormat="false" ht="19.5" hidden="false" customHeight="true" outlineLevel="0" collapsed="false">
      <c r="A27" s="11" t="s">
        <v>280</v>
      </c>
      <c r="B27" s="16"/>
      <c r="C27" s="50" t="n">
        <f aca="false">IFERROR((G9+G10)/G13,0)</f>
        <v>0.965410747374923</v>
      </c>
    </row>
    <row r="29" customFormat="false" ht="19.5" hidden="false" customHeight="true" outlineLevel="0" collapsed="false">
      <c r="A29" s="7" t="s">
        <v>281</v>
      </c>
      <c r="B29" s="8"/>
      <c r="C29" s="8"/>
      <c r="D29" s="8"/>
      <c r="E29" s="8"/>
      <c r="F29" s="8"/>
      <c r="G29" s="8"/>
    </row>
    <row r="30" customFormat="false" ht="24" hidden="false" customHeight="true" outlineLevel="0" collapsed="false">
      <c r="A30" s="10" t="s">
        <v>265</v>
      </c>
      <c r="B30" s="10" t="s">
        <v>71</v>
      </c>
      <c r="C30" s="10" t="s">
        <v>61</v>
      </c>
      <c r="D30" s="10" t="s">
        <v>62</v>
      </c>
      <c r="E30" s="10" t="s">
        <v>63</v>
      </c>
      <c r="F30" s="10" t="s">
        <v>64</v>
      </c>
      <c r="G30" s="10" t="s">
        <v>72</v>
      </c>
    </row>
    <row r="31" customFormat="false" ht="15" hidden="false" customHeight="false" outlineLevel="0" collapsed="false">
      <c r="A31" s="12" t="s">
        <v>266</v>
      </c>
      <c r="B31" s="16" t="s">
        <v>267</v>
      </c>
      <c r="C31" s="22" t="n">
        <v>0</v>
      </c>
      <c r="D31" s="22" t="n">
        <f aca="false">Assumptions!$E$41</f>
        <v>0.35</v>
      </c>
      <c r="E31" s="22" t="n">
        <f aca="false">Assumptions!$E$42</f>
        <v>0.6</v>
      </c>
      <c r="F31" s="22" t="n">
        <f aca="false">Assumptions!$E$43</f>
        <v>0.7</v>
      </c>
      <c r="G31" s="12"/>
    </row>
    <row r="32" customFormat="false" ht="15" hidden="false" customHeight="false" outlineLevel="0" collapsed="false">
      <c r="A32" s="43" t="s">
        <v>268</v>
      </c>
      <c r="B32" s="44"/>
      <c r="C32" s="44"/>
      <c r="D32" s="44"/>
      <c r="E32" s="44"/>
      <c r="F32" s="44"/>
      <c r="G32" s="44"/>
    </row>
    <row r="33" customFormat="false" ht="15" hidden="false" customHeight="false" outlineLevel="0" collapsed="false">
      <c r="A33" s="12" t="s">
        <v>269</v>
      </c>
      <c r="B33" s="16" t="s">
        <v>75</v>
      </c>
      <c r="C33" s="45" t="n">
        <f aca="false">Assumptions!$E$23*C31*(Assumptions!$E$24-Assumptions!$E$25)/60*Assumptions!$E$26*Assumptions!$E$27</f>
        <v>0</v>
      </c>
      <c r="D33" s="45" t="n">
        <f aca="false">Assumptions!$E$23*D31*(Assumptions!$E$24-Assumptions!$E$25)/60*Assumptions!$E$26*Assumptions!$E$27</f>
        <v>301466.666666667</v>
      </c>
      <c r="E33" s="45" t="n">
        <f aca="false">Assumptions!$E$23*E31*(Assumptions!$E$24-Assumptions!$E$25)/60*Assumptions!$E$26*Assumptions!$E$27</f>
        <v>516800</v>
      </c>
      <c r="F33" s="45" t="n">
        <f aca="false">Assumptions!$E$23*F31*(Assumptions!$E$24-Assumptions!$E$25)/60*Assumptions!$E$26*Assumptions!$E$27</f>
        <v>602933.333333333</v>
      </c>
      <c r="G33" s="46" t="n">
        <f aca="false">SUM(C33:F33)</f>
        <v>1421200</v>
      </c>
    </row>
    <row r="34" customFormat="false" ht="15" hidden="false" customHeight="false" outlineLevel="0" collapsed="false">
      <c r="A34" s="12" t="s">
        <v>76</v>
      </c>
      <c r="B34" s="16" t="s">
        <v>75</v>
      </c>
      <c r="C34" s="45" t="n">
        <f aca="false">Assumptions!$E$29*(Assumptions!$E$30-Assumptions!$E$31)/100*12*C31*Assumptions!$E$32</f>
        <v>0</v>
      </c>
      <c r="D34" s="45" t="n">
        <f aca="false">Assumptions!$E$29*(Assumptions!$E$30-Assumptions!$E$31)/100*12*D31*Assumptions!$E$32</f>
        <v>40950</v>
      </c>
      <c r="E34" s="45" t="n">
        <f aca="false">Assumptions!$E$29*(Assumptions!$E$30-Assumptions!$E$31)/100*12*E31*Assumptions!$E$32</f>
        <v>70200</v>
      </c>
      <c r="F34" s="45" t="n">
        <f aca="false">Assumptions!$E$29*(Assumptions!$E$30-Assumptions!$E$31)/100*12*F31*Assumptions!$E$32</f>
        <v>81900</v>
      </c>
      <c r="G34" s="46" t="n">
        <f aca="false">SUM(C34:F34)</f>
        <v>193050</v>
      </c>
    </row>
    <row r="35" customFormat="false" ht="15" hidden="false" customHeight="false" outlineLevel="0" collapsed="false">
      <c r="A35" s="12" t="s">
        <v>270</v>
      </c>
      <c r="B35" s="16" t="s">
        <v>78</v>
      </c>
      <c r="C35" s="45" t="n">
        <f aca="false">Assumptions!$E$29*Assumptions!$E$34*Assumptions!$E$35*Assumptions!$E$36*C31*Assumptions!$E$39</f>
        <v>0</v>
      </c>
      <c r="D35" s="45" t="n">
        <f aca="false">Assumptions!$E$29*Assumptions!$E$34*Assumptions!$E$35*Assumptions!$E$36*D31*Assumptions!$E$39</f>
        <v>7875</v>
      </c>
      <c r="E35" s="45" t="n">
        <f aca="false">Assumptions!$E$29*Assumptions!$E$34*Assumptions!$E$35*Assumptions!$E$36*E31*Assumptions!$E$39</f>
        <v>13500</v>
      </c>
      <c r="F35" s="45" t="n">
        <f aca="false">Assumptions!$E$29*Assumptions!$E$34*Assumptions!$E$35*Assumptions!$E$36*F31*Assumptions!$E$39</f>
        <v>15750</v>
      </c>
      <c r="G35" s="46" t="n">
        <f aca="false">SUM(C35:F35)</f>
        <v>37125</v>
      </c>
    </row>
    <row r="36" customFormat="false" ht="15" hidden="false" customHeight="false" outlineLevel="0" collapsed="false">
      <c r="A36" s="12" t="s">
        <v>79</v>
      </c>
      <c r="B36" s="16" t="s">
        <v>78</v>
      </c>
      <c r="C36" s="45" t="n">
        <f aca="false">Assumptions!$E$37*Assumptions!$E$38*C31*Assumptions!$E$39</f>
        <v>0</v>
      </c>
      <c r="D36" s="45" t="n">
        <f aca="false">Assumptions!$E$37*Assumptions!$E$38*D31*Assumptions!$E$39</f>
        <v>5250</v>
      </c>
      <c r="E36" s="45" t="n">
        <f aca="false">Assumptions!$E$37*Assumptions!$E$38*E31*Assumptions!$E$39</f>
        <v>9000</v>
      </c>
      <c r="F36" s="45" t="n">
        <f aca="false">Assumptions!$E$37*Assumptions!$E$38*F31*Assumptions!$E$39</f>
        <v>10500</v>
      </c>
      <c r="G36" s="46" t="n">
        <f aca="false">SUM(C36:F36)</f>
        <v>24750</v>
      </c>
    </row>
    <row r="37" customFormat="false" ht="15" hidden="false" customHeight="false" outlineLevel="0" collapsed="false">
      <c r="A37" s="11" t="s">
        <v>65</v>
      </c>
      <c r="B37" s="16"/>
      <c r="C37" s="46" t="n">
        <f aca="false">SUM(C33:C36)</f>
        <v>0</v>
      </c>
      <c r="D37" s="46" t="n">
        <f aca="false">SUM(D33:D36)</f>
        <v>355541.666666667</v>
      </c>
      <c r="E37" s="46" t="n">
        <f aca="false">SUM(E33:E36)</f>
        <v>609500</v>
      </c>
      <c r="F37" s="46" t="n">
        <f aca="false">SUM(F33:F36)</f>
        <v>711083.333333333</v>
      </c>
      <c r="G37" s="46" t="n">
        <f aca="false">SUM(C37:F37)</f>
        <v>1676125</v>
      </c>
    </row>
    <row r="38" customFormat="false" ht="15" hidden="false" customHeight="false" outlineLevel="0" collapsed="false">
      <c r="A38" s="43" t="s">
        <v>271</v>
      </c>
      <c r="B38" s="44"/>
      <c r="C38" s="44"/>
      <c r="D38" s="44"/>
      <c r="E38" s="44"/>
      <c r="F38" s="44"/>
      <c r="G38" s="44"/>
    </row>
    <row r="39" customFormat="false" ht="15" hidden="false" customHeight="false" outlineLevel="0" collapsed="false">
      <c r="A39" s="12" t="s">
        <v>272</v>
      </c>
      <c r="B39" s="16" t="s">
        <v>273</v>
      </c>
      <c r="C39" s="45" t="n">
        <f aca="false">Assumptions!$E$10*Assumptions!$E$11*Assumptions!$E$9</f>
        <v>500000</v>
      </c>
      <c r="D39" s="45" t="n">
        <v>0</v>
      </c>
      <c r="E39" s="45" t="n">
        <v>0</v>
      </c>
      <c r="F39" s="45" t="n">
        <v>0</v>
      </c>
      <c r="G39" s="46" t="n">
        <f aca="false">SUM(C39:F39)</f>
        <v>500000</v>
      </c>
    </row>
    <row r="40" customFormat="false" ht="15" hidden="false" customHeight="false" outlineLevel="0" collapsed="false">
      <c r="A40" s="12" t="s">
        <v>135</v>
      </c>
      <c r="B40" s="16" t="s">
        <v>273</v>
      </c>
      <c r="C40" s="45" t="n">
        <f aca="false">Assumptions!$E$12</f>
        <v>75000</v>
      </c>
      <c r="D40" s="45" t="n">
        <v>0</v>
      </c>
      <c r="E40" s="45" t="n">
        <v>0</v>
      </c>
      <c r="F40" s="45" t="n">
        <v>0</v>
      </c>
      <c r="G40" s="46" t="n">
        <f aca="false">SUM(C40:F40)</f>
        <v>75000</v>
      </c>
    </row>
    <row r="41" customFormat="false" ht="15" hidden="false" customHeight="false" outlineLevel="0" collapsed="false">
      <c r="A41" s="12" t="s">
        <v>274</v>
      </c>
      <c r="B41" s="16" t="s">
        <v>273</v>
      </c>
      <c r="C41" s="45" t="n">
        <f aca="false">Assumptions!$E$13+Assumptions!$E$14</f>
        <v>37000</v>
      </c>
      <c r="D41" s="45" t="n">
        <v>0</v>
      </c>
      <c r="E41" s="45" t="n">
        <v>0</v>
      </c>
      <c r="F41" s="45" t="n">
        <v>0</v>
      </c>
      <c r="G41" s="46" t="n">
        <f aca="false">SUM(C41:F41)</f>
        <v>37000</v>
      </c>
    </row>
    <row r="42" customFormat="false" ht="15" hidden="false" customHeight="false" outlineLevel="0" collapsed="false">
      <c r="A42" s="12" t="s">
        <v>275</v>
      </c>
      <c r="B42" s="16" t="s">
        <v>273</v>
      </c>
      <c r="C42" s="45" t="n">
        <v>0</v>
      </c>
      <c r="D42" s="45" t="n">
        <f aca="false">Assumptions!$E$15</f>
        <v>20000</v>
      </c>
      <c r="E42" s="45" t="n">
        <v>0</v>
      </c>
      <c r="F42" s="45" t="n">
        <v>0</v>
      </c>
      <c r="G42" s="46" t="n">
        <f aca="false">SUM(C42:F42)</f>
        <v>20000</v>
      </c>
    </row>
    <row r="43" customFormat="false" ht="15" hidden="false" customHeight="false" outlineLevel="0" collapsed="false">
      <c r="A43" s="12" t="s">
        <v>276</v>
      </c>
      <c r="B43" s="16" t="s">
        <v>277</v>
      </c>
      <c r="C43" s="45" t="n">
        <v>0</v>
      </c>
      <c r="D43" s="45" t="n">
        <f aca="false">Assumptions!$E$17+Assumptions!$E$18+Assumptions!$E$19+Assumptions!$E$20*Assumptions!$E$21</f>
        <v>234000</v>
      </c>
      <c r="E43" s="45" t="n">
        <f aca="false">Assumptions!$E$17+Assumptions!$E$18+Assumptions!$E$19+Assumptions!$E$20*Assumptions!$E$21</f>
        <v>234000</v>
      </c>
      <c r="F43" s="45" t="n">
        <f aca="false">Assumptions!$E$17+Assumptions!$E$18+Assumptions!$E$19+Assumptions!$E$20*Assumptions!$E$21</f>
        <v>234000</v>
      </c>
      <c r="G43" s="46" t="n">
        <f aca="false">SUM(C43:F43)</f>
        <v>702000</v>
      </c>
    </row>
    <row r="44" customFormat="false" ht="15" hidden="false" customHeight="false" outlineLevel="0" collapsed="false">
      <c r="A44" s="11" t="s">
        <v>66</v>
      </c>
      <c r="B44" s="16"/>
      <c r="C44" s="46" t="n">
        <f aca="false">SUM(C39:C43)</f>
        <v>612000</v>
      </c>
      <c r="D44" s="46" t="n">
        <f aca="false">SUM(D39:D43)</f>
        <v>254000</v>
      </c>
      <c r="E44" s="46" t="n">
        <f aca="false">SUM(E39:E43)</f>
        <v>234000</v>
      </c>
      <c r="F44" s="46" t="n">
        <f aca="false">SUM(F39:F43)</f>
        <v>234000</v>
      </c>
      <c r="G44" s="46" t="n">
        <f aca="false">SUM(C44:F44)</f>
        <v>1334000</v>
      </c>
    </row>
    <row r="45" customFormat="false" ht="15" hidden="false" customHeight="false" outlineLevel="0" collapsed="false">
      <c r="A45" s="47" t="s">
        <v>67</v>
      </c>
      <c r="B45" s="48"/>
      <c r="C45" s="49" t="n">
        <f aca="false">C37-C44</f>
        <v>-612000</v>
      </c>
      <c r="D45" s="49" t="n">
        <f aca="false">D37-D44</f>
        <v>101541.666666667</v>
      </c>
      <c r="E45" s="49" t="n">
        <f aca="false">E37-E44</f>
        <v>375500</v>
      </c>
      <c r="F45" s="49" t="n">
        <f aca="false">F37-F44</f>
        <v>477083.333333333</v>
      </c>
      <c r="G45" s="49" t="n">
        <f aca="false">SUM(C45:F45)</f>
        <v>342125</v>
      </c>
    </row>
    <row r="46" customFormat="false" ht="15" hidden="false" customHeight="false" outlineLevel="0" collapsed="false">
      <c r="A46" s="11" t="s">
        <v>68</v>
      </c>
      <c r="B46" s="16"/>
      <c r="C46" s="46" t="n">
        <f aca="false">C45</f>
        <v>-612000</v>
      </c>
      <c r="D46" s="46" t="n">
        <f aca="false">C46+D45</f>
        <v>-510458.333333333</v>
      </c>
      <c r="E46" s="46" t="n">
        <f aca="false">D46+E45</f>
        <v>-134958.333333333</v>
      </c>
      <c r="F46" s="46" t="n">
        <f aca="false">E46+F45</f>
        <v>342125</v>
      </c>
      <c r="G46" s="12"/>
    </row>
    <row r="48" customFormat="false" ht="19.5" hidden="false" customHeight="true" outlineLevel="0" collapsed="false">
      <c r="A48" s="11" t="s">
        <v>278</v>
      </c>
      <c r="B48" s="16"/>
      <c r="C48" s="46" t="n">
        <f aca="false">C45+NPV(Assumptions!$E$7,D45:F45)</f>
        <v>149080.954169797</v>
      </c>
    </row>
    <row r="49" customFormat="false" ht="19.5" hidden="false" customHeight="true" outlineLevel="0" collapsed="false">
      <c r="A49" s="11" t="s">
        <v>279</v>
      </c>
      <c r="B49" s="16"/>
      <c r="C49" s="50" t="n">
        <f aca="false">IFERROR((G37-G44)/G44,0)</f>
        <v>0.256465517241379</v>
      </c>
    </row>
    <row r="50" customFormat="false" ht="19.5" hidden="false" customHeight="true" outlineLevel="0" collapsed="false">
      <c r="A50" s="11" t="s">
        <v>54</v>
      </c>
      <c r="B50" s="16"/>
      <c r="C50" s="51" t="n">
        <f aca="false">IF(D46&gt;=0,-C46/D45,IF(E46&gt;=0,1+(-D46)/E45,IF(F46&gt;=0,2+(-E46)/F45,"Beyond 3 years")))</f>
        <v>2.28288209606987</v>
      </c>
    </row>
    <row r="51" customFormat="false" ht="19.5" hidden="false" customHeight="true" outlineLevel="0" collapsed="false">
      <c r="A51" s="11" t="s">
        <v>280</v>
      </c>
      <c r="B51" s="16"/>
      <c r="C51" s="50" t="n">
        <f aca="false">IFERROR((G33+G34)/G37,0)</f>
        <v>0.963084495488105</v>
      </c>
    </row>
    <row r="53" customFormat="false" ht="19.5" hidden="false" customHeight="true" outlineLevel="0" collapsed="false">
      <c r="A53" s="7" t="s">
        <v>282</v>
      </c>
      <c r="B53" s="8"/>
      <c r="C53" s="8"/>
      <c r="D53" s="8"/>
      <c r="E53" s="8"/>
      <c r="F53" s="8"/>
      <c r="G53" s="8"/>
    </row>
    <row r="54" customFormat="false" ht="24" hidden="false" customHeight="true" outlineLevel="0" collapsed="false">
      <c r="A54" s="10" t="s">
        <v>265</v>
      </c>
      <c r="B54" s="10" t="s">
        <v>71</v>
      </c>
      <c r="C54" s="10" t="s">
        <v>61</v>
      </c>
      <c r="D54" s="10" t="s">
        <v>62</v>
      </c>
      <c r="E54" s="10" t="s">
        <v>63</v>
      </c>
      <c r="F54" s="10" t="s">
        <v>64</v>
      </c>
      <c r="G54" s="10" t="s">
        <v>72</v>
      </c>
    </row>
    <row r="55" customFormat="false" ht="15" hidden="false" customHeight="false" outlineLevel="0" collapsed="false">
      <c r="A55" s="12" t="s">
        <v>266</v>
      </c>
      <c r="B55" s="16" t="s">
        <v>267</v>
      </c>
      <c r="C55" s="22" t="n">
        <v>0</v>
      </c>
      <c r="D55" s="22" t="n">
        <f aca="false">Assumptions!$F$41</f>
        <v>0.45</v>
      </c>
      <c r="E55" s="22" t="n">
        <f aca="false">Assumptions!$F$42</f>
        <v>0.7</v>
      </c>
      <c r="F55" s="22" t="n">
        <f aca="false">Assumptions!$F$43</f>
        <v>0.8</v>
      </c>
      <c r="G55" s="12"/>
    </row>
    <row r="56" customFormat="false" ht="15" hidden="false" customHeight="false" outlineLevel="0" collapsed="false">
      <c r="A56" s="43" t="s">
        <v>268</v>
      </c>
      <c r="B56" s="44"/>
      <c r="C56" s="44"/>
      <c r="D56" s="44"/>
      <c r="E56" s="44"/>
      <c r="F56" s="44"/>
      <c r="G56" s="44"/>
    </row>
    <row r="57" customFormat="false" ht="15" hidden="false" customHeight="false" outlineLevel="0" collapsed="false">
      <c r="A57" s="12" t="s">
        <v>269</v>
      </c>
      <c r="B57" s="16" t="s">
        <v>75</v>
      </c>
      <c r="C57" s="45" t="n">
        <f aca="false">Assumptions!$F$23*C55*(Assumptions!$F$24-Assumptions!$F$25)/60*Assumptions!$F$26*Assumptions!$F$27</f>
        <v>0</v>
      </c>
      <c r="D57" s="45" t="n">
        <f aca="false">Assumptions!$F$23*D55*(Assumptions!$F$24-Assumptions!$F$25)/60*Assumptions!$F$26*Assumptions!$F$27</f>
        <v>627000</v>
      </c>
      <c r="E57" s="45" t="n">
        <f aca="false">Assumptions!$F$23*E55*(Assumptions!$F$24-Assumptions!$F$25)/60*Assumptions!$F$26*Assumptions!$F$27</f>
        <v>975333.333333333</v>
      </c>
      <c r="F57" s="45" t="n">
        <f aca="false">Assumptions!$F$23*F55*(Assumptions!$F$24-Assumptions!$F$25)/60*Assumptions!$F$26*Assumptions!$F$27</f>
        <v>1114666.66666667</v>
      </c>
      <c r="G57" s="46" t="n">
        <f aca="false">SUM(C57:F57)</f>
        <v>2717000</v>
      </c>
    </row>
    <row r="58" customFormat="false" ht="15" hidden="false" customHeight="false" outlineLevel="0" collapsed="false">
      <c r="A58" s="12" t="s">
        <v>76</v>
      </c>
      <c r="B58" s="16" t="s">
        <v>75</v>
      </c>
      <c r="C58" s="45" t="n">
        <f aca="false">Assumptions!$F$29*(Assumptions!$F$30-Assumptions!$F$31)/100*12*C55*Assumptions!$F$32</f>
        <v>0</v>
      </c>
      <c r="D58" s="45" t="n">
        <f aca="false">Assumptions!$F$29*(Assumptions!$F$30-Assumptions!$F$31)/100*12*D55*Assumptions!$F$32</f>
        <v>61425</v>
      </c>
      <c r="E58" s="45" t="n">
        <f aca="false">Assumptions!$F$29*(Assumptions!$F$30-Assumptions!$F$31)/100*12*E55*Assumptions!$F$32</f>
        <v>95550</v>
      </c>
      <c r="F58" s="45" t="n">
        <f aca="false">Assumptions!$F$29*(Assumptions!$F$30-Assumptions!$F$31)/100*12*F55*Assumptions!$F$32</f>
        <v>109200</v>
      </c>
      <c r="G58" s="46" t="n">
        <f aca="false">SUM(C58:F58)</f>
        <v>266175</v>
      </c>
    </row>
    <row r="59" customFormat="false" ht="15" hidden="false" customHeight="false" outlineLevel="0" collapsed="false">
      <c r="A59" s="12" t="s">
        <v>270</v>
      </c>
      <c r="B59" s="16" t="s">
        <v>78</v>
      </c>
      <c r="C59" s="45" t="n">
        <f aca="false">Assumptions!$F$29*Assumptions!$F$34*Assumptions!$F$35*Assumptions!$F$36*C55*Assumptions!$F$39</f>
        <v>0</v>
      </c>
      <c r="D59" s="45" t="n">
        <f aca="false">Assumptions!$F$29*Assumptions!$F$34*Assumptions!$F$35*Assumptions!$F$36*D55*Assumptions!$F$39</f>
        <v>17010</v>
      </c>
      <c r="E59" s="45" t="n">
        <f aca="false">Assumptions!$F$29*Assumptions!$F$34*Assumptions!$F$35*Assumptions!$F$36*E55*Assumptions!$F$39</f>
        <v>26460</v>
      </c>
      <c r="F59" s="45" t="n">
        <f aca="false">Assumptions!$F$29*Assumptions!$F$34*Assumptions!$F$35*Assumptions!$F$36*F55*Assumptions!$F$39</f>
        <v>30240</v>
      </c>
      <c r="G59" s="46" t="n">
        <f aca="false">SUM(C59:F59)</f>
        <v>73710</v>
      </c>
    </row>
    <row r="60" customFormat="false" ht="15" hidden="false" customHeight="false" outlineLevel="0" collapsed="false">
      <c r="A60" s="12" t="s">
        <v>79</v>
      </c>
      <c r="B60" s="16" t="s">
        <v>78</v>
      </c>
      <c r="C60" s="45" t="n">
        <f aca="false">Assumptions!$F$37*Assumptions!$F$38*C55*Assumptions!$F$39</f>
        <v>0</v>
      </c>
      <c r="D60" s="45" t="n">
        <f aca="false">Assumptions!$F$37*Assumptions!$F$38*D55*Assumptions!$F$39</f>
        <v>12150</v>
      </c>
      <c r="E60" s="45" t="n">
        <f aca="false">Assumptions!$F$37*Assumptions!$F$38*E55*Assumptions!$F$39</f>
        <v>18900</v>
      </c>
      <c r="F60" s="45" t="n">
        <f aca="false">Assumptions!$F$37*Assumptions!$F$38*F55*Assumptions!$F$39</f>
        <v>21600</v>
      </c>
      <c r="G60" s="46" t="n">
        <f aca="false">SUM(C60:F60)</f>
        <v>52650</v>
      </c>
    </row>
    <row r="61" customFormat="false" ht="15" hidden="false" customHeight="false" outlineLevel="0" collapsed="false">
      <c r="A61" s="11" t="s">
        <v>65</v>
      </c>
      <c r="B61" s="16"/>
      <c r="C61" s="46" t="n">
        <f aca="false">SUM(C57:C60)</f>
        <v>0</v>
      </c>
      <c r="D61" s="46" t="n">
        <f aca="false">SUM(D57:D60)</f>
        <v>717585</v>
      </c>
      <c r="E61" s="46" t="n">
        <f aca="false">SUM(E57:E60)</f>
        <v>1116243.33333333</v>
      </c>
      <c r="F61" s="46" t="n">
        <f aca="false">SUM(F57:F60)</f>
        <v>1275706.66666667</v>
      </c>
      <c r="G61" s="46" t="n">
        <f aca="false">SUM(C61:F61)</f>
        <v>3109535</v>
      </c>
    </row>
    <row r="62" customFormat="false" ht="15" hidden="false" customHeight="false" outlineLevel="0" collapsed="false">
      <c r="A62" s="43" t="s">
        <v>271</v>
      </c>
      <c r="B62" s="44"/>
      <c r="C62" s="44"/>
      <c r="D62" s="44"/>
      <c r="E62" s="44"/>
      <c r="F62" s="44"/>
      <c r="G62" s="44"/>
    </row>
    <row r="63" customFormat="false" ht="15" hidden="false" customHeight="false" outlineLevel="0" collapsed="false">
      <c r="A63" s="12" t="s">
        <v>272</v>
      </c>
      <c r="B63" s="16" t="s">
        <v>273</v>
      </c>
      <c r="C63" s="45" t="n">
        <f aca="false">Assumptions!$F$10*Assumptions!$F$11*Assumptions!$F$9</f>
        <v>500000</v>
      </c>
      <c r="D63" s="45" t="n">
        <v>0</v>
      </c>
      <c r="E63" s="45" t="n">
        <v>0</v>
      </c>
      <c r="F63" s="45" t="n">
        <v>0</v>
      </c>
      <c r="G63" s="46" t="n">
        <f aca="false">SUM(C63:F63)</f>
        <v>500000</v>
      </c>
    </row>
    <row r="64" customFormat="false" ht="15" hidden="false" customHeight="false" outlineLevel="0" collapsed="false">
      <c r="A64" s="12" t="s">
        <v>135</v>
      </c>
      <c r="B64" s="16" t="s">
        <v>273</v>
      </c>
      <c r="C64" s="45" t="n">
        <f aca="false">Assumptions!$F$12</f>
        <v>75000</v>
      </c>
      <c r="D64" s="45" t="n">
        <v>0</v>
      </c>
      <c r="E64" s="45" t="n">
        <v>0</v>
      </c>
      <c r="F64" s="45" t="n">
        <v>0</v>
      </c>
      <c r="G64" s="46" t="n">
        <f aca="false">SUM(C64:F64)</f>
        <v>75000</v>
      </c>
    </row>
    <row r="65" customFormat="false" ht="15" hidden="false" customHeight="false" outlineLevel="0" collapsed="false">
      <c r="A65" s="12" t="s">
        <v>274</v>
      </c>
      <c r="B65" s="16" t="s">
        <v>273</v>
      </c>
      <c r="C65" s="45" t="n">
        <f aca="false">Assumptions!$F$13+Assumptions!$F$14</f>
        <v>37000</v>
      </c>
      <c r="D65" s="45" t="n">
        <v>0</v>
      </c>
      <c r="E65" s="45" t="n">
        <v>0</v>
      </c>
      <c r="F65" s="45" t="n">
        <v>0</v>
      </c>
      <c r="G65" s="46" t="n">
        <f aca="false">SUM(C65:F65)</f>
        <v>37000</v>
      </c>
    </row>
    <row r="66" customFormat="false" ht="15" hidden="false" customHeight="false" outlineLevel="0" collapsed="false">
      <c r="A66" s="12" t="s">
        <v>275</v>
      </c>
      <c r="B66" s="16" t="s">
        <v>273</v>
      </c>
      <c r="C66" s="45" t="n">
        <v>0</v>
      </c>
      <c r="D66" s="45" t="n">
        <f aca="false">Assumptions!$F$15</f>
        <v>18000</v>
      </c>
      <c r="E66" s="45" t="n">
        <v>0</v>
      </c>
      <c r="F66" s="45" t="n">
        <v>0</v>
      </c>
      <c r="G66" s="46" t="n">
        <f aca="false">SUM(C66:F66)</f>
        <v>18000</v>
      </c>
    </row>
    <row r="67" customFormat="false" ht="15" hidden="false" customHeight="false" outlineLevel="0" collapsed="false">
      <c r="A67" s="12" t="s">
        <v>276</v>
      </c>
      <c r="B67" s="16" t="s">
        <v>277</v>
      </c>
      <c r="C67" s="45" t="n">
        <v>0</v>
      </c>
      <c r="D67" s="45" t="n">
        <f aca="false">Assumptions!$F$17+Assumptions!$F$18+Assumptions!$F$19+Assumptions!$F$20*Assumptions!$F$21</f>
        <v>226000</v>
      </c>
      <c r="E67" s="45" t="n">
        <f aca="false">Assumptions!$F$17+Assumptions!$F$18+Assumptions!$F$19+Assumptions!$F$20*Assumptions!$F$21</f>
        <v>226000</v>
      </c>
      <c r="F67" s="45" t="n">
        <f aca="false">Assumptions!$F$17+Assumptions!$F$18+Assumptions!$F$19+Assumptions!$F$20*Assumptions!$F$21</f>
        <v>226000</v>
      </c>
      <c r="G67" s="46" t="n">
        <f aca="false">SUM(C67:F67)</f>
        <v>678000</v>
      </c>
    </row>
    <row r="68" customFormat="false" ht="15" hidden="false" customHeight="false" outlineLevel="0" collapsed="false">
      <c r="A68" s="11" t="s">
        <v>66</v>
      </c>
      <c r="B68" s="16"/>
      <c r="C68" s="46" t="n">
        <f aca="false">SUM(C63:C67)</f>
        <v>612000</v>
      </c>
      <c r="D68" s="46" t="n">
        <f aca="false">SUM(D63:D67)</f>
        <v>244000</v>
      </c>
      <c r="E68" s="46" t="n">
        <f aca="false">SUM(E63:E67)</f>
        <v>226000</v>
      </c>
      <c r="F68" s="46" t="n">
        <f aca="false">SUM(F63:F67)</f>
        <v>226000</v>
      </c>
      <c r="G68" s="46" t="n">
        <f aca="false">SUM(C68:F68)</f>
        <v>1308000</v>
      </c>
    </row>
    <row r="69" customFormat="false" ht="15" hidden="false" customHeight="false" outlineLevel="0" collapsed="false">
      <c r="A69" s="47" t="s">
        <v>67</v>
      </c>
      <c r="B69" s="48"/>
      <c r="C69" s="49" t="n">
        <f aca="false">C61-C68</f>
        <v>-612000</v>
      </c>
      <c r="D69" s="49" t="n">
        <f aca="false">D61-D68</f>
        <v>473585</v>
      </c>
      <c r="E69" s="49" t="n">
        <f aca="false">E61-E68</f>
        <v>890243.333333333</v>
      </c>
      <c r="F69" s="49" t="n">
        <f aca="false">F61-F68</f>
        <v>1049706.66666667</v>
      </c>
      <c r="G69" s="49" t="n">
        <f aca="false">SUM(C69:F69)</f>
        <v>1801535</v>
      </c>
    </row>
    <row r="70" customFormat="false" ht="15" hidden="false" customHeight="false" outlineLevel="0" collapsed="false">
      <c r="A70" s="11" t="s">
        <v>68</v>
      </c>
      <c r="B70" s="16"/>
      <c r="C70" s="46" t="n">
        <f aca="false">C69</f>
        <v>-612000</v>
      </c>
      <c r="D70" s="46" t="n">
        <f aca="false">C70+D69</f>
        <v>-138415</v>
      </c>
      <c r="E70" s="46" t="n">
        <f aca="false">D70+E69</f>
        <v>751828.333333333</v>
      </c>
      <c r="F70" s="46" t="n">
        <f aca="false">E70+F69</f>
        <v>1801535</v>
      </c>
      <c r="G70" s="12"/>
    </row>
    <row r="72" customFormat="false" ht="19.5" hidden="false" customHeight="true" outlineLevel="0" collapsed="false">
      <c r="A72" s="11" t="s">
        <v>278</v>
      </c>
      <c r="B72" s="16"/>
      <c r="C72" s="46" t="n">
        <f aca="false">C69+NPV(Assumptions!$F$7,D69:F69)</f>
        <v>1342930.26546456</v>
      </c>
    </row>
    <row r="73" customFormat="false" ht="19.5" hidden="false" customHeight="true" outlineLevel="0" collapsed="false">
      <c r="A73" s="11" t="s">
        <v>279</v>
      </c>
      <c r="B73" s="16"/>
      <c r="C73" s="50" t="n">
        <f aca="false">IFERROR((G61-G68)/G68,0)</f>
        <v>1.37732033639144</v>
      </c>
    </row>
    <row r="74" customFormat="false" ht="19.5" hidden="false" customHeight="true" outlineLevel="0" collapsed="false">
      <c r="A74" s="11" t="s">
        <v>54</v>
      </c>
      <c r="B74" s="16"/>
      <c r="C74" s="51" t="n">
        <f aca="false">IF(D70&gt;=0,-C70/D69,IF(E70&gt;=0,1+(-D70)/E69,IF(F70&gt;=0,2+(-E70)/F69,"Beyond 3 years")))</f>
        <v>1.15547996240728</v>
      </c>
    </row>
    <row r="75" customFormat="false" ht="19.5" hidden="false" customHeight="true" outlineLevel="0" collapsed="false">
      <c r="A75" s="11" t="s">
        <v>280</v>
      </c>
      <c r="B75" s="16"/>
      <c r="C75" s="50" t="n">
        <f aca="false">IFERROR((G57+G58)/G61,0)</f>
        <v>0.959363699073977</v>
      </c>
    </row>
  </sheetData>
  <conditionalFormatting sqref="C21:F22">
    <cfRule type="cellIs" priority="2" operator="lessThan" aboveAverage="0" equalAverage="0" bottom="0" percent="0" rank="0" text="" dxfId="2">
      <formula>0</formula>
    </cfRule>
  </conditionalFormatting>
  <conditionalFormatting sqref="C45:F46">
    <cfRule type="cellIs" priority="3" operator="lessThan" aboveAverage="0" equalAverage="0" bottom="0" percent="0" rank="0" text="" dxfId="2">
      <formula>0</formula>
    </cfRule>
  </conditionalFormatting>
  <conditionalFormatting sqref="C69:F70">
    <cfRule type="cellIs" priority="4" operator="lessThan" aboveAverage="0" equalAverage="0" bottom="0" percent="0" rank="0" text="" dxfId="2">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4" min="2" style="0" width="16"/>
    <col collapsed="false" customWidth="true" hidden="false" outlineLevel="0" max="5" min="5" style="0" width="44"/>
    <col collapsed="false" customWidth="true" hidden="false" outlineLevel="0" max="6" min="6" style="0" width="4"/>
  </cols>
  <sheetData>
    <row r="1" customFormat="false" ht="19.7" hidden="false" customHeight="false" outlineLevel="0" collapsed="false">
      <c r="A1" s="33" t="s">
        <v>283</v>
      </c>
    </row>
    <row r="2" customFormat="false" ht="15" hidden="false" customHeight="false" outlineLevel="0" collapsed="false">
      <c r="A2" s="19" t="s">
        <v>284</v>
      </c>
    </row>
    <row r="3" customFormat="false" ht="15" hidden="false" customHeight="false" outlineLevel="0" collapsed="false">
      <c r="A3" s="34" t="s">
        <v>285</v>
      </c>
    </row>
    <row r="5" customFormat="false" ht="31.5" hidden="false" customHeight="true" outlineLevel="0" collapsed="false">
      <c r="A5" s="10" t="s">
        <v>286</v>
      </c>
      <c r="B5" s="10" t="s">
        <v>49</v>
      </c>
      <c r="C5" s="10" t="s">
        <v>50</v>
      </c>
      <c r="D5" s="10" t="s">
        <v>51</v>
      </c>
      <c r="E5" s="10" t="s">
        <v>287</v>
      </c>
    </row>
    <row r="6" customFormat="false" ht="30" hidden="false" customHeight="true" outlineLevel="0" collapsed="false">
      <c r="A6" s="12" t="s">
        <v>288</v>
      </c>
      <c r="B6" s="45" t="n">
        <f aca="false">Assumptions!$D$23*Assumptions!$D$45*Assumptions!$D$46</f>
        <v>6840000</v>
      </c>
      <c r="C6" s="45" t="n">
        <f aca="false">Assumptions!$E$23*Assumptions!$E$45*Assumptions!$E$46</f>
        <v>7600000</v>
      </c>
      <c r="D6" s="45" t="n">
        <f aca="false">Assumptions!$F$23*Assumptions!$F$45*Assumptions!$F$46</f>
        <v>8360000</v>
      </c>
      <c r="E6" s="12" t="s">
        <v>289</v>
      </c>
    </row>
    <row r="7" customFormat="false" ht="30" hidden="false" customHeight="true" outlineLevel="0" collapsed="false">
      <c r="A7" s="12" t="s">
        <v>290</v>
      </c>
      <c r="B7" s="22" t="n">
        <f aca="false">Assumptions!$D$43</f>
        <v>0.55</v>
      </c>
      <c r="C7" s="22" t="n">
        <f aca="false">Assumptions!$E$43</f>
        <v>0.7</v>
      </c>
      <c r="D7" s="22" t="n">
        <f aca="false">Assumptions!$F$43</f>
        <v>0.8</v>
      </c>
      <c r="E7" s="12" t="s">
        <v>291</v>
      </c>
    </row>
    <row r="8" customFormat="false" ht="30" hidden="false" customHeight="true" outlineLevel="0" collapsed="false">
      <c r="A8" s="12" t="s">
        <v>81</v>
      </c>
      <c r="B8" s="45" t="n">
        <f aca="false">B6*(Assumptions!$D$48-Assumptions!$D$47)*B7</f>
        <v>112860</v>
      </c>
      <c r="C8" s="45" t="n">
        <f aca="false">C6*(Assumptions!$E$48-Assumptions!$E$47)*C7</f>
        <v>372400</v>
      </c>
      <c r="D8" s="45" t="n">
        <f aca="false">D6*(Assumptions!$F$48-Assumptions!$F$47)*D7</f>
        <v>601920</v>
      </c>
      <c r="E8" s="12" t="s">
        <v>292</v>
      </c>
    </row>
    <row r="9" customFormat="false" ht="30" hidden="false" customHeight="true" outlineLevel="0" collapsed="false">
      <c r="A9" s="12" t="s">
        <v>82</v>
      </c>
      <c r="B9" s="45" t="n">
        <f aca="false">Assumptions!$D$23*Assumptions!$D$45*(Assumptions!$D$49-Assumptions!$D$50)*B7</f>
        <v>188100</v>
      </c>
      <c r="C9" s="45" t="n">
        <f aca="false">Assumptions!$E$23*Assumptions!$E$45*(Assumptions!$E$49-Assumptions!$E$50)*C7</f>
        <v>399000</v>
      </c>
      <c r="D9" s="45" t="n">
        <f aca="false">Assumptions!$F$23*Assumptions!$F$45*(Assumptions!$F$49-Assumptions!$F$50)*D7</f>
        <v>585200</v>
      </c>
      <c r="E9" s="12" t="s">
        <v>293</v>
      </c>
    </row>
    <row r="10" customFormat="false" ht="30" hidden="false" customHeight="true" outlineLevel="0" collapsed="false">
      <c r="A10" s="11" t="s">
        <v>294</v>
      </c>
      <c r="B10" s="46" t="n">
        <f aca="false">B8+B9</f>
        <v>300960</v>
      </c>
      <c r="C10" s="46" t="n">
        <f aca="false">C8+C9</f>
        <v>771400</v>
      </c>
      <c r="D10" s="46" t="n">
        <f aca="false">D8+D9</f>
        <v>1187120</v>
      </c>
      <c r="E10" s="12" t="s">
        <v>295</v>
      </c>
    </row>
    <row r="11" customFormat="false" ht="30" hidden="false" customHeight="true" outlineLevel="0" collapsed="false">
      <c r="A11" s="12" t="s">
        <v>296</v>
      </c>
      <c r="B11" s="52" t="n">
        <f aca="false">IFERROR(B10/Assumptions!$D$29,0)</f>
        <v>12.0384</v>
      </c>
      <c r="C11" s="52" t="n">
        <f aca="false">IFERROR(C10/Assumptions!$E$29,0)</f>
        <v>30.856</v>
      </c>
      <c r="D11" s="52" t="n">
        <f aca="false">IFERROR(D10/Assumptions!$F$29,0)</f>
        <v>47.4848</v>
      </c>
      <c r="E11" s="12" t="s">
        <v>297</v>
      </c>
    </row>
    <row r="13" customFormat="false" ht="30" hidden="false" customHeight="true" outlineLevel="0" collapsed="false">
      <c r="A13" s="25" t="s">
        <v>298</v>
      </c>
      <c r="B13" s="25"/>
      <c r="C13" s="25"/>
      <c r="D13" s="25"/>
      <c r="E13" s="25"/>
    </row>
  </sheetData>
  <mergeCells count="1">
    <mergeCell ref="A13:E13"/>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34"/>
    <col collapsed="false" customWidth="true" hidden="false" outlineLevel="0" max="4" min="3" style="0" width="11"/>
    <col collapsed="false" customWidth="true" hidden="false" outlineLevel="0" max="7" min="5" style="0" width="10"/>
    <col collapsed="false" customWidth="true" hidden="false" outlineLevel="0" max="8" min="8" style="0" width="11"/>
    <col collapsed="false" customWidth="true" hidden="false" outlineLevel="0" max="10" min="9" style="0" width="10"/>
    <col collapsed="false" customWidth="true" hidden="false" outlineLevel="0" max="11" min="11" style="0" width="7"/>
    <col collapsed="false" customWidth="true" hidden="false" outlineLevel="0" max="12" min="12" style="0" width="14"/>
    <col collapsed="false" customWidth="true" hidden="false" outlineLevel="0" max="13" min="13" style="0" width="40"/>
  </cols>
  <sheetData>
    <row r="1" customFormat="false" ht="19.7" hidden="false" customHeight="false" outlineLevel="0" collapsed="false">
      <c r="A1" s="33" t="s">
        <v>299</v>
      </c>
    </row>
    <row r="2" customFormat="false" ht="15" hidden="false" customHeight="false" outlineLevel="0" collapsed="false">
      <c r="A2" s="19" t="s">
        <v>300</v>
      </c>
    </row>
    <row r="3" customFormat="false" ht="15" hidden="false" customHeight="false" outlineLevel="0" collapsed="false">
      <c r="A3" s="34" t="s">
        <v>301</v>
      </c>
    </row>
    <row r="5" customFormat="false" ht="23.85" hidden="false" customHeight="false" outlineLevel="0" collapsed="false">
      <c r="A5" s="53" t="s">
        <v>302</v>
      </c>
      <c r="C5" s="54" t="s">
        <v>303</v>
      </c>
      <c r="D5" s="54" t="s">
        <v>304</v>
      </c>
      <c r="E5" s="54" t="s">
        <v>305</v>
      </c>
      <c r="F5" s="54" t="s">
        <v>306</v>
      </c>
      <c r="G5" s="54" t="s">
        <v>307</v>
      </c>
      <c r="H5" s="54" t="s">
        <v>308</v>
      </c>
    </row>
    <row r="6" customFormat="false" ht="15" hidden="false" customHeight="false" outlineLevel="0" collapsed="false">
      <c r="C6" s="55" t="n">
        <v>0.3</v>
      </c>
      <c r="D6" s="55" t="n">
        <v>0.25</v>
      </c>
      <c r="E6" s="55" t="n">
        <v>0.2</v>
      </c>
      <c r="F6" s="55" t="n">
        <v>0.15</v>
      </c>
      <c r="G6" s="55" t="n">
        <v>0.1</v>
      </c>
      <c r="H6" s="56" t="n">
        <f aca="false">SUM(C6:G6)</f>
        <v>1</v>
      </c>
    </row>
    <row r="8" customFormat="false" ht="43.5" hidden="false" customHeight="true" outlineLevel="0" collapsed="false">
      <c r="A8" s="57" t="s">
        <v>309</v>
      </c>
      <c r="B8" s="57" t="s">
        <v>310</v>
      </c>
      <c r="C8" s="57" t="s">
        <v>192</v>
      </c>
      <c r="D8" s="57" t="s">
        <v>311</v>
      </c>
      <c r="E8" s="57" t="s">
        <v>312</v>
      </c>
      <c r="F8" s="57" t="s">
        <v>313</v>
      </c>
      <c r="G8" s="57" t="s">
        <v>314</v>
      </c>
      <c r="H8" s="57" t="s">
        <v>315</v>
      </c>
      <c r="I8" s="58" t="s">
        <v>316</v>
      </c>
      <c r="J8" s="58" t="s">
        <v>317</v>
      </c>
      <c r="K8" s="58" t="s">
        <v>318</v>
      </c>
      <c r="L8" s="57" t="s">
        <v>319</v>
      </c>
      <c r="M8" s="57" t="s">
        <v>320</v>
      </c>
    </row>
    <row r="9" customFormat="false" ht="43.5" hidden="false" customHeight="true" outlineLevel="0" collapsed="false">
      <c r="A9" s="11" t="s">
        <v>321</v>
      </c>
      <c r="B9" s="12" t="s">
        <v>322</v>
      </c>
      <c r="C9" s="41" t="n">
        <v>300</v>
      </c>
      <c r="D9" s="37" t="n">
        <v>0.38</v>
      </c>
      <c r="E9" s="59" t="n">
        <v>5</v>
      </c>
      <c r="F9" s="59" t="n">
        <v>5</v>
      </c>
      <c r="G9" s="59" t="n">
        <v>5</v>
      </c>
      <c r="H9" s="59" t="n">
        <v>3</v>
      </c>
      <c r="I9" s="60" t="n">
        <f aca="false">IFERROR(D9/MAX($D$9:$D$14)*5,0)</f>
        <v>5</v>
      </c>
      <c r="J9" s="61" t="n">
        <f aca="false">I9*$C$6+E9*$D$6+F9*$E$6+G9*$F$6+(6-H9)*$G$6</f>
        <v>4.8</v>
      </c>
      <c r="K9" s="62" t="n">
        <f aca="false">RANK(J9,$J$9:$J$14)</f>
        <v>1</v>
      </c>
      <c r="L9" s="63" t="s">
        <v>323</v>
      </c>
      <c r="M9" s="12" t="s">
        <v>324</v>
      </c>
    </row>
    <row r="10" customFormat="false" ht="43.5" hidden="false" customHeight="true" outlineLevel="0" collapsed="false">
      <c r="A10" s="11" t="s">
        <v>325</v>
      </c>
      <c r="B10" s="12" t="s">
        <v>326</v>
      </c>
      <c r="C10" s="41" t="n">
        <v>2700</v>
      </c>
      <c r="D10" s="37" t="n">
        <v>0.24</v>
      </c>
      <c r="E10" s="59" t="n">
        <v>4</v>
      </c>
      <c r="F10" s="59" t="n">
        <v>4</v>
      </c>
      <c r="G10" s="59" t="n">
        <v>4</v>
      </c>
      <c r="H10" s="59" t="n">
        <v>2</v>
      </c>
      <c r="I10" s="60" t="n">
        <f aca="false">IFERROR(D10/MAX($D$9:$D$14)*5,0)</f>
        <v>3.15789473684211</v>
      </c>
      <c r="J10" s="61" t="n">
        <f aca="false">I10*$C$6+E10*$D$6+F10*$E$6+G10*$F$6+(6-H10)*$G$6</f>
        <v>3.74736842105263</v>
      </c>
      <c r="K10" s="62" t="n">
        <f aca="false">RANK(J10,$J$9:$J$14)</f>
        <v>2</v>
      </c>
      <c r="L10" s="63" t="s">
        <v>95</v>
      </c>
      <c r="M10" s="12" t="s">
        <v>327</v>
      </c>
    </row>
    <row r="11" customFormat="false" ht="43.5" hidden="false" customHeight="true" outlineLevel="0" collapsed="false">
      <c r="A11" s="11" t="s">
        <v>328</v>
      </c>
      <c r="B11" s="12" t="s">
        <v>329</v>
      </c>
      <c r="C11" s="41" t="n">
        <v>1500</v>
      </c>
      <c r="D11" s="37" t="n">
        <v>0.14</v>
      </c>
      <c r="E11" s="59" t="n">
        <v>5</v>
      </c>
      <c r="F11" s="59" t="n">
        <v>5</v>
      </c>
      <c r="G11" s="59" t="n">
        <v>3</v>
      </c>
      <c r="H11" s="59" t="n">
        <v>2</v>
      </c>
      <c r="I11" s="60" t="n">
        <f aca="false">IFERROR(D11/MAX($D$9:$D$14)*5,0)</f>
        <v>1.8421052631579</v>
      </c>
      <c r="J11" s="61" t="n">
        <f aca="false">I11*$C$6+E11*$D$6+F11*$E$6+G11*$F$6+(6-H11)*$G$6</f>
        <v>3.65263157894737</v>
      </c>
      <c r="K11" s="62" t="n">
        <f aca="false">RANK(J11,$J$9:$J$14)</f>
        <v>3</v>
      </c>
      <c r="L11" s="63" t="s">
        <v>330</v>
      </c>
      <c r="M11" s="12" t="s">
        <v>331</v>
      </c>
    </row>
    <row r="12" customFormat="false" ht="43.5" hidden="false" customHeight="true" outlineLevel="0" collapsed="false">
      <c r="A12" s="11" t="s">
        <v>332</v>
      </c>
      <c r="B12" s="12" t="s">
        <v>333</v>
      </c>
      <c r="C12" s="41" t="n">
        <v>900</v>
      </c>
      <c r="D12" s="37" t="n">
        <v>0.12</v>
      </c>
      <c r="E12" s="59" t="n">
        <v>5</v>
      </c>
      <c r="F12" s="59" t="n">
        <v>3</v>
      </c>
      <c r="G12" s="59" t="n">
        <v>4</v>
      </c>
      <c r="H12" s="59" t="n">
        <v>4</v>
      </c>
      <c r="I12" s="60" t="n">
        <f aca="false">IFERROR(D12/MAX($D$9:$D$14)*5,0)</f>
        <v>1.57894736842105</v>
      </c>
      <c r="J12" s="61" t="n">
        <f aca="false">I12*$C$6+E12*$D$6+F12*$E$6+G12*$F$6+(6-H12)*$G$6</f>
        <v>3.12368421052632</v>
      </c>
      <c r="K12" s="62" t="n">
        <f aca="false">RANK(J12,$J$9:$J$14)</f>
        <v>4</v>
      </c>
      <c r="L12" s="63" t="s">
        <v>330</v>
      </c>
      <c r="M12" s="12" t="s">
        <v>334</v>
      </c>
    </row>
    <row r="13" customFormat="false" ht="43.5" hidden="false" customHeight="true" outlineLevel="0" collapsed="false">
      <c r="A13" s="11" t="s">
        <v>335</v>
      </c>
      <c r="B13" s="12" t="s">
        <v>336</v>
      </c>
      <c r="C13" s="41" t="n">
        <v>100</v>
      </c>
      <c r="D13" s="37" t="n">
        <v>0.07</v>
      </c>
      <c r="E13" s="59" t="n">
        <v>4</v>
      </c>
      <c r="F13" s="59" t="n">
        <v>4</v>
      </c>
      <c r="G13" s="59" t="n">
        <v>5</v>
      </c>
      <c r="H13" s="59" t="n">
        <v>5</v>
      </c>
      <c r="I13" s="60" t="n">
        <f aca="false">IFERROR(D13/MAX($D$9:$D$14)*5,0)</f>
        <v>0.921052631578948</v>
      </c>
      <c r="J13" s="61" t="n">
        <f aca="false">I13*$C$6+E13*$D$6+F13*$E$6+G13*$F$6+(6-H13)*$G$6</f>
        <v>2.92631578947368</v>
      </c>
      <c r="K13" s="62" t="n">
        <f aca="false">RANK(J13,$J$9:$J$14)</f>
        <v>5</v>
      </c>
      <c r="L13" s="63" t="s">
        <v>337</v>
      </c>
      <c r="M13" s="12" t="s">
        <v>338</v>
      </c>
    </row>
    <row r="14" customFormat="false" ht="43.5" hidden="false" customHeight="true" outlineLevel="0" collapsed="false">
      <c r="A14" s="11" t="s">
        <v>339</v>
      </c>
      <c r="B14" s="12" t="s">
        <v>340</v>
      </c>
      <c r="C14" s="41" t="n">
        <v>19500</v>
      </c>
      <c r="D14" s="37" t="n">
        <v>0.05</v>
      </c>
      <c r="E14" s="59" t="n">
        <v>2</v>
      </c>
      <c r="F14" s="59" t="n">
        <v>2</v>
      </c>
      <c r="G14" s="59" t="n">
        <v>2</v>
      </c>
      <c r="H14" s="59" t="n">
        <v>1</v>
      </c>
      <c r="I14" s="60" t="n">
        <f aca="false">IFERROR(D14/MAX($D$9:$D$14)*5,0)</f>
        <v>0.657894736842105</v>
      </c>
      <c r="J14" s="61" t="n">
        <f aca="false">I14*$C$6+E14*$D$6+F14*$E$6+G14*$F$6+(6-H14)*$G$6</f>
        <v>1.89736842105263</v>
      </c>
      <c r="K14" s="62" t="n">
        <f aca="false">RANK(J14,$J$9:$J$14)</f>
        <v>6</v>
      </c>
      <c r="L14" s="63" t="s">
        <v>341</v>
      </c>
      <c r="M14" s="12" t="s">
        <v>342</v>
      </c>
    </row>
    <row r="15" customFormat="false" ht="15" hidden="false" customHeight="false" outlineLevel="0" collapsed="false">
      <c r="A15" s="43" t="s">
        <v>308</v>
      </c>
      <c r="B15" s="44"/>
      <c r="C15" s="64" t="n">
        <f aca="false">SUM(C9:C14)</f>
        <v>25000</v>
      </c>
      <c r="D15" s="65" t="n">
        <f aca="false">SUM(D9:D14)</f>
        <v>1</v>
      </c>
      <c r="E15" s="44"/>
      <c r="F15" s="44"/>
      <c r="G15" s="44"/>
      <c r="H15" s="44"/>
      <c r="I15" s="44"/>
      <c r="J15" s="44"/>
      <c r="K15" s="44"/>
      <c r="L15" s="44"/>
      <c r="M15" s="44"/>
    </row>
    <row r="16" customFormat="false" ht="23.85" hidden="false" customHeight="false" outlineLevel="0" collapsed="false">
      <c r="A16" s="11" t="s">
        <v>343</v>
      </c>
      <c r="C16" s="66" t="str">
        <f aca="false">IF(C15=Assumptions!$E$29,"OK","Mismatch")</f>
        <v>OK</v>
      </c>
    </row>
    <row r="17" customFormat="false" ht="23.85" hidden="false" customHeight="false" outlineLevel="0" collapsed="false">
      <c r="A17" s="11" t="s">
        <v>344</v>
      </c>
      <c r="C17" s="66" t="str">
        <f aca="false">IF(ROUND(D15,4)=1,"OK","Mismatch")</f>
        <v>OK</v>
      </c>
    </row>
  </sheetData>
  <conditionalFormatting sqref="H6">
    <cfRule type="cellIs" priority="2" operator="notEqual" aboveAverage="0" equalAverage="0" bottom="0" percent="0" rank="0" text="" dxfId="0">
      <formula>1</formula>
    </cfRule>
  </conditionalFormatting>
  <conditionalFormatting sqref="C16">
    <cfRule type="cellIs" priority="3" operator="equal" aboveAverage="0" equalAverage="0" bottom="0" percent="0" rank="0" text="" dxfId="1">
      <formula>"OK"</formula>
    </cfRule>
    <cfRule type="cellIs" priority="4" operator="equal" aboveAverage="0" equalAverage="0" bottom="0" percent="0" rank="0" text="" dxfId="0">
      <formula>"Mismatch"</formula>
    </cfRule>
  </conditionalFormatting>
  <conditionalFormatting sqref="C17">
    <cfRule type="cellIs" priority="5" operator="equal" aboveAverage="0" equalAverage="0" bottom="0" percent="0" rank="0" text="" dxfId="1">
      <formula>"OK"</formula>
    </cfRule>
    <cfRule type="cellIs" priority="6" operator="equal" aboveAverage="0" equalAverage="0" bottom="0" percent="0" rank="0" text="" dxfId="0">
      <formula>"Mismatch"</formula>
    </cfRule>
  </conditionalFormatting>
  <conditionalFormatting sqref="J9:J14">
    <cfRule type="dataBar" priority="7">
      <dataBar showValue="1" minLength="10" maxLength="90">
        <cfvo type="num" val="0"/>
        <cfvo type="num" val="5"/>
        <color rgb="FF5B9BD5"/>
      </dataBar>
      <extLst>
        <ext xmlns:x14="http://schemas.microsoft.com/office/spreadsheetml/2009/9/main" uri="{B025F937-C7B1-47D3-B67F-A62EFF666E3E}">
          <x14:id>{C487E0ED-4658-432D-A215-641958F967D6}</x14:id>
        </ext>
      </extLst>
    </cfRule>
  </conditionalFormatting>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C487E0ED-4658-432D-A215-641958F967D6}">
            <x14:dataBar minLength="10" maxLength="90" axisPosition="none" gradient="true">
              <x14:cfvo type="num">
                <xm:f>0</xm:f>
              </x14:cfvo>
              <x14:cfvo type="num">
                <xm:f>5</xm:f>
              </x14:cfvo>
              <x14:negativeFillColor rgb="FF5B9BD5"/>
              <x14:axisColor rgb="FF000000"/>
            </x14:dataBar>
          </x14:cfRule>
          <xm:sqref>J9:J14</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3" min="2" style="0" width="12"/>
    <col collapsed="false" customWidth="true" hidden="false" outlineLevel="0" max="4" min="4" style="0" width="28"/>
    <col collapsed="false" customWidth="true" hidden="false" outlineLevel="0" max="6" min="5" style="0" width="11"/>
    <col collapsed="false" customWidth="true" hidden="false" outlineLevel="0" max="7" min="7" style="0" width="12"/>
    <col collapsed="false" customWidth="true" hidden="false" outlineLevel="0" max="8" min="8" style="0" width="28"/>
    <col collapsed="false" customWidth="true" hidden="false" outlineLevel="0" max="9" min="9" style="0" width="34"/>
    <col collapsed="false" customWidth="true" hidden="false" outlineLevel="0" max="10" min="10" style="0" width="40"/>
    <col collapsed="false" customWidth="true" hidden="false" outlineLevel="0" max="11" min="11" style="0" width="36"/>
    <col collapsed="false" customWidth="true" hidden="false" outlineLevel="0" max="13" min="12" style="0" width="16"/>
  </cols>
  <sheetData>
    <row r="1" customFormat="false" ht="19.7" hidden="false" customHeight="false" outlineLevel="0" collapsed="false">
      <c r="A1" s="33" t="s">
        <v>345</v>
      </c>
    </row>
    <row r="2" customFormat="false" ht="15" hidden="false" customHeight="false" outlineLevel="0" collapsed="false">
      <c r="A2" s="19" t="s">
        <v>346</v>
      </c>
    </row>
    <row r="3" customFormat="false" ht="15" hidden="false" customHeight="false" outlineLevel="0" collapsed="false">
      <c r="A3" s="34" t="s">
        <v>347</v>
      </c>
    </row>
    <row r="5" customFormat="false" ht="43.5" hidden="false" customHeight="true" outlineLevel="0" collapsed="false">
      <c r="A5" s="57" t="s">
        <v>85</v>
      </c>
      <c r="B5" s="57" t="s">
        <v>86</v>
      </c>
      <c r="C5" s="57" t="s">
        <v>87</v>
      </c>
      <c r="D5" s="57" t="s">
        <v>348</v>
      </c>
      <c r="E5" s="58" t="s">
        <v>88</v>
      </c>
      <c r="F5" s="58" t="s">
        <v>89</v>
      </c>
      <c r="G5" s="58" t="s">
        <v>349</v>
      </c>
      <c r="H5" s="57" t="s">
        <v>350</v>
      </c>
      <c r="I5" s="57" t="s">
        <v>351</v>
      </c>
      <c r="J5" s="57" t="s">
        <v>352</v>
      </c>
      <c r="K5" s="57" t="s">
        <v>353</v>
      </c>
      <c r="L5" s="57" t="s">
        <v>354</v>
      </c>
      <c r="M5" s="57" t="s">
        <v>355</v>
      </c>
    </row>
    <row r="6" customFormat="false" ht="96" hidden="false" customHeight="true" outlineLevel="0" collapsed="false">
      <c r="A6" s="11" t="s">
        <v>356</v>
      </c>
      <c r="B6" s="67" t="n">
        <v>46342</v>
      </c>
      <c r="C6" s="67" t="n">
        <v>46367</v>
      </c>
      <c r="D6" s="12" t="s">
        <v>357</v>
      </c>
      <c r="E6" s="68" t="n">
        <v>0</v>
      </c>
      <c r="F6" s="68" t="n">
        <f aca="false">E6</f>
        <v>0</v>
      </c>
      <c r="G6" s="26" t="n">
        <v>0</v>
      </c>
      <c r="H6" s="12" t="s">
        <v>358</v>
      </c>
      <c r="I6" s="12" t="s">
        <v>359</v>
      </c>
      <c r="J6" s="12" t="s">
        <v>360</v>
      </c>
      <c r="K6" s="12" t="s">
        <v>361</v>
      </c>
      <c r="L6" s="12" t="s">
        <v>362</v>
      </c>
      <c r="M6" s="12" t="s">
        <v>363</v>
      </c>
    </row>
    <row r="7" customFormat="false" ht="96" hidden="false" customHeight="true" outlineLevel="0" collapsed="false">
      <c r="A7" s="11" t="s">
        <v>364</v>
      </c>
      <c r="B7" s="67" t="n">
        <v>46398</v>
      </c>
      <c r="C7" s="67" t="n">
        <v>46451</v>
      </c>
      <c r="D7" s="12" t="s">
        <v>365</v>
      </c>
      <c r="E7" s="29" t="n">
        <f aca="false">10</f>
        <v>10</v>
      </c>
      <c r="F7" s="68" t="n">
        <f aca="false">F6+E7</f>
        <v>10</v>
      </c>
      <c r="G7" s="22" t="n">
        <f aca="false">Segments!$D$9*10/Segments!$C$9</f>
        <v>0.0126666666666667</v>
      </c>
      <c r="H7" s="12" t="s">
        <v>366</v>
      </c>
      <c r="I7" s="12" t="s">
        <v>367</v>
      </c>
      <c r="J7" s="12" t="s">
        <v>368</v>
      </c>
      <c r="K7" s="12" t="s">
        <v>369</v>
      </c>
      <c r="L7" s="12" t="s">
        <v>370</v>
      </c>
      <c r="M7" s="12" t="s">
        <v>371</v>
      </c>
    </row>
    <row r="8" customFormat="false" ht="96" hidden="false" customHeight="true" outlineLevel="0" collapsed="false">
      <c r="A8" s="11" t="s">
        <v>372</v>
      </c>
      <c r="B8" s="67" t="n">
        <v>46461</v>
      </c>
      <c r="C8" s="67" t="n">
        <v>46535</v>
      </c>
      <c r="D8" s="12" t="s">
        <v>373</v>
      </c>
      <c r="E8" s="29" t="n">
        <f aca="false">Segments!$C$9+Segments!$C$10-10</f>
        <v>2990</v>
      </c>
      <c r="F8" s="68" t="n">
        <f aca="false">F7+E8</f>
        <v>3000</v>
      </c>
      <c r="G8" s="22" t="n">
        <f aca="false">Segments!$D$9+Segments!$D$10</f>
        <v>0.62</v>
      </c>
      <c r="H8" s="12" t="s">
        <v>374</v>
      </c>
      <c r="I8" s="12" t="s">
        <v>375</v>
      </c>
      <c r="J8" s="12" t="s">
        <v>376</v>
      </c>
      <c r="K8" s="12" t="s">
        <v>377</v>
      </c>
      <c r="L8" s="12" t="s">
        <v>378</v>
      </c>
      <c r="M8" s="12" t="s">
        <v>379</v>
      </c>
    </row>
    <row r="9" customFormat="false" ht="96" hidden="false" customHeight="true" outlineLevel="0" collapsed="false">
      <c r="A9" s="11" t="s">
        <v>380</v>
      </c>
      <c r="B9" s="67" t="n">
        <v>46545</v>
      </c>
      <c r="C9" s="67" t="n">
        <v>46654</v>
      </c>
      <c r="D9" s="12" t="s">
        <v>381</v>
      </c>
      <c r="E9" s="29" t="n">
        <f aca="false">Segments!$C$11+Segments!$C$12</f>
        <v>2400</v>
      </c>
      <c r="F9" s="68" t="n">
        <f aca="false">F8+E9</f>
        <v>5400</v>
      </c>
      <c r="G9" s="22" t="n">
        <f aca="false">G8+Segments!$D$11+Segments!$D$12</f>
        <v>0.88</v>
      </c>
      <c r="H9" s="12" t="s">
        <v>382</v>
      </c>
      <c r="I9" s="12" t="s">
        <v>383</v>
      </c>
      <c r="J9" s="12" t="s">
        <v>384</v>
      </c>
      <c r="K9" s="12" t="s">
        <v>385</v>
      </c>
      <c r="L9" s="12" t="s">
        <v>378</v>
      </c>
      <c r="M9" s="12" t="s">
        <v>179</v>
      </c>
    </row>
    <row r="10" customFormat="false" ht="96" hidden="false" customHeight="true" outlineLevel="0" collapsed="false">
      <c r="A10" s="11" t="s">
        <v>386</v>
      </c>
      <c r="B10" s="67" t="n">
        <v>46664</v>
      </c>
      <c r="C10" s="67" t="n">
        <v>46738</v>
      </c>
      <c r="D10" s="12" t="s">
        <v>387</v>
      </c>
      <c r="E10" s="29" t="n">
        <f aca="false">Segments!$C$14</f>
        <v>19500</v>
      </c>
      <c r="F10" s="68" t="n">
        <f aca="false">F9+E10</f>
        <v>24900</v>
      </c>
      <c r="G10" s="22" t="n">
        <f aca="false">G9+Segments!$D$14</f>
        <v>0.93</v>
      </c>
      <c r="H10" s="12" t="s">
        <v>388</v>
      </c>
      <c r="I10" s="12" t="s">
        <v>389</v>
      </c>
      <c r="J10" s="12" t="s">
        <v>390</v>
      </c>
      <c r="K10" s="12" t="s">
        <v>391</v>
      </c>
      <c r="L10" s="12" t="s">
        <v>392</v>
      </c>
      <c r="M10" s="12" t="s">
        <v>393</v>
      </c>
    </row>
    <row r="12" customFormat="false" ht="15" hidden="false" customHeight="true" outlineLevel="0" collapsed="false">
      <c r="A12" s="11" t="s">
        <v>394</v>
      </c>
      <c r="D12" s="12" t="s">
        <v>335</v>
      </c>
      <c r="E12" s="29" t="n">
        <f aca="false">Segments!$C$13</f>
        <v>100</v>
      </c>
      <c r="H12" s="12" t="s">
        <v>395</v>
      </c>
      <c r="I12" s="12"/>
      <c r="J12" s="12"/>
      <c r="K12" s="12"/>
    </row>
    <row r="14" customFormat="false" ht="19.5" hidden="false" customHeight="true" outlineLevel="0" collapsed="false">
      <c r="A14" s="7" t="s">
        <v>396</v>
      </c>
      <c r="B14" s="8"/>
      <c r="C14" s="8"/>
      <c r="D14" s="8"/>
      <c r="E14" s="8"/>
      <c r="F14" s="8"/>
      <c r="G14" s="8"/>
    </row>
    <row r="15" customFormat="false" ht="39.75" hidden="false" customHeight="true" outlineLevel="0" collapsed="false">
      <c r="A15" s="10" t="s">
        <v>397</v>
      </c>
      <c r="B15" s="10" t="s">
        <v>398</v>
      </c>
      <c r="C15" s="10" t="s">
        <v>399</v>
      </c>
      <c r="D15" s="10" t="s">
        <v>400</v>
      </c>
      <c r="E15" s="10" t="s">
        <v>401</v>
      </c>
      <c r="F15" s="10"/>
      <c r="G15" s="10"/>
    </row>
    <row r="16" customFormat="false" ht="15" hidden="false" customHeight="false" outlineLevel="0" collapsed="false">
      <c r="A16" s="66" t="s">
        <v>62</v>
      </c>
      <c r="B16" s="26" t="n">
        <f aca="false">G10</f>
        <v>0.93</v>
      </c>
      <c r="C16" s="22" t="n">
        <f aca="false">Assumptions!$E$41</f>
        <v>0.35</v>
      </c>
      <c r="D16" s="26" t="n">
        <f aca="false">IFERROR(C16/B16,0)</f>
        <v>0.376344086021505</v>
      </c>
      <c r="E16" s="66" t="str">
        <f aca="false">IF(C16&lt;=B16,IF(D16&lt;=0.8,"Achievable","Stretch"),"Not possible")</f>
        <v>Achievable</v>
      </c>
    </row>
    <row r="17" customFormat="false" ht="15" hidden="false" customHeight="false" outlineLevel="0" collapsed="false">
      <c r="A17" s="66" t="s">
        <v>63</v>
      </c>
      <c r="B17" s="26" t="n">
        <f aca="false">G10</f>
        <v>0.93</v>
      </c>
      <c r="C17" s="22" t="n">
        <f aca="false">Assumptions!$E$42</f>
        <v>0.6</v>
      </c>
      <c r="D17" s="26" t="n">
        <f aca="false">IFERROR(C17/B17,0)</f>
        <v>0.645161290322581</v>
      </c>
      <c r="E17" s="66" t="str">
        <f aca="false">IF(C17&lt;=B17,IF(D17&lt;=0.8,"Achievable","Stretch"),"Not possible")</f>
        <v>Achievable</v>
      </c>
    </row>
    <row r="18" customFormat="false" ht="15" hidden="false" customHeight="false" outlineLevel="0" collapsed="false">
      <c r="A18" s="66" t="s">
        <v>64</v>
      </c>
      <c r="B18" s="26" t="n">
        <f aca="false">G10</f>
        <v>0.93</v>
      </c>
      <c r="C18" s="22" t="n">
        <f aca="false">Assumptions!$E$43</f>
        <v>0.7</v>
      </c>
      <c r="D18" s="26" t="n">
        <f aca="false">IFERROR(C18/B18,0)</f>
        <v>0.752688172043011</v>
      </c>
      <c r="E18" s="66" t="str">
        <f aca="false">IF(C18&lt;=B18,IF(D18&lt;=0.8,"Achievable","Stretch"),"Not possible")</f>
        <v>Achievable</v>
      </c>
    </row>
    <row r="19" customFormat="false" ht="30" hidden="false" customHeight="true" outlineLevel="0" collapsed="false">
      <c r="A19" s="25" t="s">
        <v>402</v>
      </c>
      <c r="B19" s="25"/>
      <c r="C19" s="25"/>
      <c r="D19" s="25"/>
      <c r="E19" s="25"/>
      <c r="F19" s="25"/>
      <c r="G19" s="25"/>
    </row>
  </sheetData>
  <mergeCells count="2">
    <mergeCell ref="H12:K12"/>
    <mergeCell ref="A19:G19"/>
  </mergeCells>
  <conditionalFormatting sqref="E16">
    <cfRule type="cellIs" priority="2" operator="equal" aboveAverage="0" equalAverage="0" bottom="0" percent="0" rank="0" text="" dxfId="1">
      <formula>"Achievable"</formula>
    </cfRule>
    <cfRule type="cellIs" priority="3" operator="equal" aboveAverage="0" equalAverage="0" bottom="0" percent="0" rank="0" text="" dxfId="3">
      <formula>"Stretch"</formula>
    </cfRule>
    <cfRule type="cellIs" priority="4" operator="equal" aboveAverage="0" equalAverage="0" bottom="0" percent="0" rank="0" text="" dxfId="0">
      <formula>"Not possible"</formula>
    </cfRule>
  </conditionalFormatting>
  <conditionalFormatting sqref="E17">
    <cfRule type="cellIs" priority="5" operator="equal" aboveAverage="0" equalAverage="0" bottom="0" percent="0" rank="0" text="" dxfId="1">
      <formula>"Achievable"</formula>
    </cfRule>
    <cfRule type="cellIs" priority="6" operator="equal" aboveAverage="0" equalAverage="0" bottom="0" percent="0" rank="0" text="" dxfId="3">
      <formula>"Stretch"</formula>
    </cfRule>
    <cfRule type="cellIs" priority="7" operator="equal" aboveAverage="0" equalAverage="0" bottom="0" percent="0" rank="0" text="" dxfId="0">
      <formula>"Not possible"</formula>
    </cfRule>
  </conditionalFormatting>
  <conditionalFormatting sqref="E18">
    <cfRule type="cellIs" priority="8" operator="equal" aboveAverage="0" equalAverage="0" bottom="0" percent="0" rank="0" text="" dxfId="1">
      <formula>"Achievable"</formula>
    </cfRule>
    <cfRule type="cellIs" priority="9" operator="equal" aboveAverage="0" equalAverage="0" bottom="0" percent="0" rank="0" text="" dxfId="3">
      <formula>"Stretch"</formula>
    </cfRule>
    <cfRule type="cellIs" priority="10" operator="equal" aboveAverage="0" equalAverage="0" bottom="0" percent="0" rank="0" text="" dxfId="0">
      <formula>"Not possible"</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0"/>
    <col collapsed="false" customWidth="true" hidden="false" outlineLevel="0" max="3" min="3" style="0" width="32"/>
    <col collapsed="false" customWidth="true" hidden="false" outlineLevel="0" max="4" min="4" style="0" width="34"/>
    <col collapsed="false" customWidth="true" hidden="false" outlineLevel="0" max="5" min="5" style="0" width="30"/>
    <col collapsed="false" customWidth="true" hidden="false" outlineLevel="0" max="6" min="6" style="0" width="24"/>
    <col collapsed="false" customWidth="true" hidden="false" outlineLevel="0" max="7" min="7" style="0" width="30"/>
    <col collapsed="false" customWidth="true" hidden="false" outlineLevel="0" max="8" min="8" style="0" width="16"/>
  </cols>
  <sheetData>
    <row r="1" customFormat="false" ht="19.7" hidden="false" customHeight="false" outlineLevel="0" collapsed="false">
      <c r="A1" s="33" t="s">
        <v>403</v>
      </c>
    </row>
    <row r="2" customFormat="false" ht="15" hidden="false" customHeight="false" outlineLevel="0" collapsed="false">
      <c r="A2" s="19" t="s">
        <v>404</v>
      </c>
    </row>
    <row r="4" customFormat="false" ht="30" hidden="false" customHeight="true" outlineLevel="0" collapsed="false">
      <c r="A4" s="57" t="s">
        <v>348</v>
      </c>
      <c r="B4" s="57" t="s">
        <v>71</v>
      </c>
      <c r="C4" s="57" t="s">
        <v>405</v>
      </c>
      <c r="D4" s="57" t="s">
        <v>406</v>
      </c>
      <c r="E4" s="57" t="s">
        <v>407</v>
      </c>
      <c r="F4" s="57" t="s">
        <v>408</v>
      </c>
      <c r="G4" s="57" t="s">
        <v>409</v>
      </c>
      <c r="H4" s="57" t="s">
        <v>354</v>
      </c>
    </row>
    <row r="5" customFormat="false" ht="69.75" hidden="false" customHeight="true" outlineLevel="0" collapsed="false">
      <c r="A5" s="11" t="s">
        <v>410</v>
      </c>
      <c r="B5" s="16" t="s">
        <v>411</v>
      </c>
      <c r="C5" s="12" t="s">
        <v>412</v>
      </c>
      <c r="D5" s="12" t="s">
        <v>413</v>
      </c>
      <c r="E5" s="12" t="s">
        <v>414</v>
      </c>
      <c r="F5" s="12" t="s">
        <v>415</v>
      </c>
      <c r="G5" s="12" t="s">
        <v>416</v>
      </c>
      <c r="H5" s="12" t="s">
        <v>417</v>
      </c>
    </row>
    <row r="6" customFormat="false" ht="69.75" hidden="false" customHeight="true" outlineLevel="0" collapsed="false">
      <c r="A6" s="11" t="s">
        <v>418</v>
      </c>
      <c r="B6" s="16" t="s">
        <v>411</v>
      </c>
      <c r="C6" s="12" t="s">
        <v>419</v>
      </c>
      <c r="D6" s="12" t="s">
        <v>420</v>
      </c>
      <c r="E6" s="12" t="s">
        <v>421</v>
      </c>
      <c r="F6" s="12" t="s">
        <v>422</v>
      </c>
      <c r="G6" s="12" t="s">
        <v>423</v>
      </c>
      <c r="H6" s="12" t="s">
        <v>417</v>
      </c>
    </row>
    <row r="7" customFormat="false" ht="69.75" hidden="false" customHeight="true" outlineLevel="0" collapsed="false">
      <c r="A7" s="11" t="s">
        <v>424</v>
      </c>
      <c r="B7" s="16" t="s">
        <v>411</v>
      </c>
      <c r="C7" s="12" t="s">
        <v>425</v>
      </c>
      <c r="D7" s="12" t="s">
        <v>426</v>
      </c>
      <c r="E7" s="12" t="str">
        <f aca="false">"Base case: about "&amp;TEXT('Merchant Value'!C10/1000,"$#,##0")&amp;"k a year kept or recovered by merchants at Year 3 (Merchant Value tab)."</f>
        <v>Base case: about $771k a year kept or recovered by merchants at Year 3 (Merchant Value tab).</v>
      </c>
      <c r="F7" s="12" t="s">
        <v>427</v>
      </c>
      <c r="G7" s="12" t="s">
        <v>428</v>
      </c>
      <c r="H7" s="12" t="s">
        <v>378</v>
      </c>
    </row>
    <row r="8" customFormat="false" ht="69.75" hidden="false" customHeight="true" outlineLevel="0" collapsed="false">
      <c r="A8" s="11" t="s">
        <v>429</v>
      </c>
      <c r="B8" s="16" t="s">
        <v>430</v>
      </c>
      <c r="C8" s="12" t="s">
        <v>431</v>
      </c>
      <c r="D8" s="12" t="s">
        <v>432</v>
      </c>
      <c r="E8" s="12" t="s">
        <v>433</v>
      </c>
      <c r="F8" s="12" t="s">
        <v>434</v>
      </c>
      <c r="G8" s="12" t="s">
        <v>435</v>
      </c>
      <c r="H8" s="12" t="s">
        <v>378</v>
      </c>
    </row>
    <row r="9" customFormat="false" ht="69.75" hidden="false" customHeight="true" outlineLevel="0" collapsed="false">
      <c r="A9" s="11" t="s">
        <v>436</v>
      </c>
      <c r="B9" s="16" t="s">
        <v>430</v>
      </c>
      <c r="C9" s="12" t="s">
        <v>437</v>
      </c>
      <c r="D9" s="12" t="s">
        <v>438</v>
      </c>
      <c r="E9" s="12" t="s">
        <v>439</v>
      </c>
      <c r="F9" s="12" t="s">
        <v>440</v>
      </c>
      <c r="G9" s="12" t="s">
        <v>441</v>
      </c>
      <c r="H9" s="12" t="s">
        <v>442</v>
      </c>
    </row>
    <row r="10" customFormat="false" ht="69.75" hidden="false" customHeight="true" outlineLevel="0" collapsed="false">
      <c r="A10" s="11" t="s">
        <v>443</v>
      </c>
      <c r="B10" s="16" t="s">
        <v>430</v>
      </c>
      <c r="C10" s="12" t="s">
        <v>444</v>
      </c>
      <c r="D10" s="12" t="s">
        <v>445</v>
      </c>
      <c r="E10" s="12" t="s">
        <v>446</v>
      </c>
      <c r="F10" s="12" t="s">
        <v>447</v>
      </c>
      <c r="G10" s="12" t="s">
        <v>448</v>
      </c>
      <c r="H10" s="12" t="s">
        <v>449</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4"/>
    <col collapsed="false" customWidth="true" hidden="false" outlineLevel="0" max="3" min="3" style="0" width="40"/>
    <col collapsed="false" customWidth="true" hidden="false" outlineLevel="0" max="4" min="4" style="0" width="18"/>
    <col collapsed="false" customWidth="true" hidden="false" outlineLevel="0" max="6" min="5" style="0" width="12"/>
    <col collapsed="false" customWidth="true" hidden="false" outlineLevel="0" max="7" min="7" style="0" width="10"/>
    <col collapsed="false" customWidth="true" hidden="false" outlineLevel="0" max="8" min="8" style="0" width="14"/>
    <col collapsed="false" customWidth="true" hidden="false" outlineLevel="0" max="9" min="9" style="0" width="16"/>
    <col collapsed="false" customWidth="true" hidden="false" outlineLevel="0" max="10" min="10" style="0" width="34"/>
  </cols>
  <sheetData>
    <row r="1" customFormat="false" ht="19.7" hidden="false" customHeight="false" outlineLevel="0" collapsed="false">
      <c r="A1" s="33" t="s">
        <v>450</v>
      </c>
    </row>
    <row r="2" customFormat="false" ht="15" hidden="false" customHeight="false" outlineLevel="0" collapsed="false">
      <c r="A2" s="19" t="s">
        <v>451</v>
      </c>
    </row>
    <row r="3" customFormat="false" ht="15" hidden="false" customHeight="false" outlineLevel="0" collapsed="false">
      <c r="A3" s="34" t="s">
        <v>452</v>
      </c>
    </row>
    <row r="4" customFormat="false" ht="30" hidden="false" customHeight="true" outlineLevel="0" collapsed="false">
      <c r="A4" s="57" t="s">
        <v>110</v>
      </c>
      <c r="B4" s="57" t="s">
        <v>453</v>
      </c>
      <c r="C4" s="57" t="s">
        <v>454</v>
      </c>
      <c r="D4" s="57" t="s">
        <v>354</v>
      </c>
      <c r="E4" s="57" t="s">
        <v>455</v>
      </c>
      <c r="F4" s="57" t="s">
        <v>456</v>
      </c>
      <c r="G4" s="57" t="s">
        <v>457</v>
      </c>
      <c r="H4" s="57" t="s">
        <v>458</v>
      </c>
      <c r="I4" s="57" t="s">
        <v>355</v>
      </c>
      <c r="J4" s="57" t="s">
        <v>459</v>
      </c>
    </row>
    <row r="5" customFormat="false" ht="31.5" hidden="false" customHeight="true" outlineLevel="0" collapsed="false">
      <c r="A5" s="66" t="s">
        <v>460</v>
      </c>
      <c r="B5" s="12" t="s">
        <v>461</v>
      </c>
      <c r="C5" s="12" t="s">
        <v>462</v>
      </c>
      <c r="D5" s="12" t="s">
        <v>370</v>
      </c>
      <c r="E5" s="17" t="n">
        <v>46360</v>
      </c>
      <c r="F5" s="16" t="s">
        <v>463</v>
      </c>
      <c r="G5" s="16" t="s">
        <v>464</v>
      </c>
      <c r="H5" s="16" t="s">
        <v>93</v>
      </c>
      <c r="I5" s="16" t="s">
        <v>465</v>
      </c>
      <c r="J5" s="12"/>
    </row>
    <row r="6" customFormat="false" ht="31.5" hidden="false" customHeight="true" outlineLevel="0" collapsed="false">
      <c r="A6" s="66" t="s">
        <v>466</v>
      </c>
      <c r="B6" s="12" t="s">
        <v>467</v>
      </c>
      <c r="C6" s="12" t="s">
        <v>468</v>
      </c>
      <c r="D6" s="12" t="s">
        <v>469</v>
      </c>
      <c r="E6" s="17" t="n">
        <v>46360</v>
      </c>
      <c r="F6" s="16" t="s">
        <v>470</v>
      </c>
      <c r="G6" s="16" t="s">
        <v>464</v>
      </c>
      <c r="H6" s="16" t="s">
        <v>93</v>
      </c>
      <c r="I6" s="16" t="s">
        <v>471</v>
      </c>
      <c r="J6" s="12" t="s">
        <v>472</v>
      </c>
    </row>
    <row r="7" customFormat="false" ht="31.5" hidden="false" customHeight="true" outlineLevel="0" collapsed="false">
      <c r="A7" s="66" t="s">
        <v>473</v>
      </c>
      <c r="B7" s="12" t="s">
        <v>474</v>
      </c>
      <c r="C7" s="12" t="s">
        <v>475</v>
      </c>
      <c r="D7" s="12" t="s">
        <v>476</v>
      </c>
      <c r="E7" s="17" t="n">
        <v>46346</v>
      </c>
      <c r="F7" s="16" t="s">
        <v>463</v>
      </c>
      <c r="G7" s="16" t="s">
        <v>464</v>
      </c>
      <c r="H7" s="16" t="s">
        <v>93</v>
      </c>
      <c r="I7" s="16" t="s">
        <v>477</v>
      </c>
      <c r="J7" s="12" t="s">
        <v>478</v>
      </c>
    </row>
    <row r="8" customFormat="false" ht="31.5" hidden="false" customHeight="true" outlineLevel="0" collapsed="false">
      <c r="A8" s="66" t="s">
        <v>479</v>
      </c>
      <c r="B8" s="12" t="s">
        <v>480</v>
      </c>
      <c r="C8" s="12" t="s">
        <v>481</v>
      </c>
      <c r="D8" s="12" t="s">
        <v>482</v>
      </c>
      <c r="E8" s="17" t="n">
        <v>46318</v>
      </c>
      <c r="F8" s="16" t="s">
        <v>463</v>
      </c>
      <c r="G8" s="16" t="s">
        <v>464</v>
      </c>
      <c r="H8" s="16" t="s">
        <v>94</v>
      </c>
      <c r="I8" s="16" t="s">
        <v>483</v>
      </c>
      <c r="J8" s="12" t="s">
        <v>484</v>
      </c>
    </row>
    <row r="9" customFormat="false" ht="31.5" hidden="false" customHeight="true" outlineLevel="0" collapsed="false">
      <c r="A9" s="66" t="s">
        <v>485</v>
      </c>
      <c r="B9" s="12" t="s">
        <v>474</v>
      </c>
      <c r="C9" s="12" t="s">
        <v>486</v>
      </c>
      <c r="D9" s="12" t="s">
        <v>482</v>
      </c>
      <c r="E9" s="17" t="n">
        <v>46304</v>
      </c>
      <c r="F9" s="16" t="s">
        <v>487</v>
      </c>
      <c r="G9" s="16" t="s">
        <v>464</v>
      </c>
      <c r="H9" s="16" t="s">
        <v>93</v>
      </c>
      <c r="I9" s="16" t="s">
        <v>488</v>
      </c>
      <c r="J9" s="12"/>
    </row>
    <row r="10" customFormat="false" ht="31.5" hidden="false" customHeight="true" outlineLevel="0" collapsed="false">
      <c r="A10" s="66" t="s">
        <v>489</v>
      </c>
      <c r="B10" s="12" t="s">
        <v>490</v>
      </c>
      <c r="C10" s="12" t="s">
        <v>491</v>
      </c>
      <c r="D10" s="12" t="s">
        <v>370</v>
      </c>
      <c r="E10" s="17" t="n">
        <v>46346</v>
      </c>
      <c r="F10" s="16" t="s">
        <v>492</v>
      </c>
      <c r="G10" s="16" t="s">
        <v>464</v>
      </c>
      <c r="H10" s="16" t="s">
        <v>94</v>
      </c>
      <c r="I10" s="16" t="s">
        <v>493</v>
      </c>
      <c r="J10" s="12" t="s">
        <v>494</v>
      </c>
    </row>
    <row r="11" customFormat="false" ht="31.5" hidden="false" customHeight="true" outlineLevel="0" collapsed="false">
      <c r="A11" s="66" t="s">
        <v>495</v>
      </c>
      <c r="B11" s="12" t="s">
        <v>490</v>
      </c>
      <c r="C11" s="12" t="s">
        <v>496</v>
      </c>
      <c r="D11" s="12" t="s">
        <v>497</v>
      </c>
      <c r="E11" s="17" t="n">
        <v>46283</v>
      </c>
      <c r="F11" s="16" t="s">
        <v>487</v>
      </c>
      <c r="G11" s="16" t="s">
        <v>498</v>
      </c>
      <c r="H11" s="16" t="s">
        <v>95</v>
      </c>
      <c r="I11" s="16" t="s">
        <v>499</v>
      </c>
      <c r="J11" s="12"/>
    </row>
    <row r="12" customFormat="false" ht="31.5" hidden="false" customHeight="true" outlineLevel="0" collapsed="false">
      <c r="A12" s="66" t="s">
        <v>500</v>
      </c>
      <c r="B12" s="12" t="s">
        <v>501</v>
      </c>
      <c r="C12" s="12" t="s">
        <v>502</v>
      </c>
      <c r="D12" s="12" t="s">
        <v>442</v>
      </c>
      <c r="E12" s="17" t="n">
        <v>46353</v>
      </c>
      <c r="F12" s="16" t="s">
        <v>463</v>
      </c>
      <c r="G12" s="16" t="s">
        <v>464</v>
      </c>
      <c r="H12" s="16" t="s">
        <v>93</v>
      </c>
      <c r="I12" s="16" t="s">
        <v>503</v>
      </c>
      <c r="J12" s="12"/>
    </row>
    <row r="13" customFormat="false" ht="31.5" hidden="false" customHeight="true" outlineLevel="0" collapsed="false">
      <c r="A13" s="66" t="s">
        <v>504</v>
      </c>
      <c r="B13" s="12" t="s">
        <v>505</v>
      </c>
      <c r="C13" s="12" t="s">
        <v>506</v>
      </c>
      <c r="D13" s="12" t="s">
        <v>449</v>
      </c>
      <c r="E13" s="17" t="n">
        <v>46360</v>
      </c>
      <c r="F13" s="16" t="s">
        <v>463</v>
      </c>
      <c r="G13" s="16" t="s">
        <v>464</v>
      </c>
      <c r="H13" s="16" t="s">
        <v>93</v>
      </c>
      <c r="I13" s="16" t="s">
        <v>507</v>
      </c>
      <c r="J13" s="12"/>
    </row>
    <row r="14" customFormat="false" ht="31.5" hidden="false" customHeight="true" outlineLevel="0" collapsed="false">
      <c r="A14" s="66" t="s">
        <v>508</v>
      </c>
      <c r="B14" s="12" t="s">
        <v>509</v>
      </c>
      <c r="C14" s="12" t="s">
        <v>510</v>
      </c>
      <c r="D14" s="12" t="s">
        <v>378</v>
      </c>
      <c r="E14" s="17" t="n">
        <v>46339</v>
      </c>
      <c r="F14" s="16" t="s">
        <v>463</v>
      </c>
      <c r="G14" s="16" t="s">
        <v>498</v>
      </c>
      <c r="H14" s="16" t="s">
        <v>94</v>
      </c>
      <c r="I14" s="16" t="s">
        <v>213</v>
      </c>
      <c r="J14" s="12"/>
    </row>
    <row r="15" customFormat="false" ht="31.5" hidden="false" customHeight="true" outlineLevel="0" collapsed="false">
      <c r="A15" s="66" t="s">
        <v>511</v>
      </c>
      <c r="B15" s="12" t="s">
        <v>512</v>
      </c>
      <c r="C15" s="12" t="s">
        <v>513</v>
      </c>
      <c r="D15" s="12" t="s">
        <v>417</v>
      </c>
      <c r="E15" s="17" t="n">
        <v>46360</v>
      </c>
      <c r="F15" s="16" t="s">
        <v>463</v>
      </c>
      <c r="G15" s="16" t="s">
        <v>498</v>
      </c>
      <c r="H15" s="16" t="s">
        <v>94</v>
      </c>
      <c r="I15" s="16"/>
      <c r="J15" s="12"/>
    </row>
    <row r="16" customFormat="false" ht="24" hidden="false" customHeight="true" outlineLevel="0" collapsed="false">
      <c r="A16" s="66" t="s">
        <v>514</v>
      </c>
      <c r="B16" s="12" t="s">
        <v>512</v>
      </c>
      <c r="C16" s="12" t="s">
        <v>515</v>
      </c>
      <c r="D16" s="12" t="s">
        <v>417</v>
      </c>
      <c r="E16" s="17" t="n">
        <v>46360</v>
      </c>
      <c r="F16" s="16" t="s">
        <v>463</v>
      </c>
      <c r="G16" s="16" t="s">
        <v>498</v>
      </c>
      <c r="H16" s="16" t="s">
        <v>94</v>
      </c>
      <c r="I16" s="16" t="s">
        <v>516</v>
      </c>
      <c r="J16" s="12"/>
    </row>
    <row r="17" customFormat="false" ht="31.5" hidden="false" customHeight="true" outlineLevel="0" collapsed="false">
      <c r="A17" s="66" t="s">
        <v>517</v>
      </c>
      <c r="B17" s="12" t="s">
        <v>94</v>
      </c>
      <c r="C17" s="12" t="s">
        <v>518</v>
      </c>
      <c r="D17" s="12" t="s">
        <v>378</v>
      </c>
      <c r="E17" s="17" t="n">
        <v>46325</v>
      </c>
      <c r="F17" s="16" t="s">
        <v>487</v>
      </c>
      <c r="G17" s="16" t="s">
        <v>464</v>
      </c>
      <c r="H17" s="16" t="s">
        <v>94</v>
      </c>
      <c r="I17" s="16" t="s">
        <v>519</v>
      </c>
      <c r="J17" s="12" t="s">
        <v>520</v>
      </c>
    </row>
    <row r="18" customFormat="false" ht="24" hidden="false" customHeight="true" outlineLevel="0" collapsed="false">
      <c r="A18" s="66" t="s">
        <v>521</v>
      </c>
      <c r="B18" s="12" t="s">
        <v>522</v>
      </c>
      <c r="C18" s="12" t="s">
        <v>523</v>
      </c>
      <c r="D18" s="12" t="s">
        <v>524</v>
      </c>
      <c r="E18" s="17" t="n">
        <v>46353</v>
      </c>
      <c r="F18" s="16" t="s">
        <v>463</v>
      </c>
      <c r="G18" s="16" t="s">
        <v>464</v>
      </c>
      <c r="H18" s="16" t="s">
        <v>93</v>
      </c>
      <c r="I18" s="16"/>
      <c r="J18" s="12"/>
    </row>
    <row r="19" customFormat="false" ht="24" hidden="false" customHeight="true" outlineLevel="0" collapsed="false">
      <c r="A19" s="66" t="s">
        <v>525</v>
      </c>
      <c r="B19" s="12" t="s">
        <v>522</v>
      </c>
      <c r="C19" s="12" t="s">
        <v>526</v>
      </c>
      <c r="D19" s="12" t="s">
        <v>524</v>
      </c>
      <c r="E19" s="17" t="n">
        <v>46360</v>
      </c>
      <c r="F19" s="16" t="s">
        <v>463</v>
      </c>
      <c r="G19" s="16" t="s">
        <v>464</v>
      </c>
      <c r="H19" s="16" t="s">
        <v>93</v>
      </c>
      <c r="I19" s="16"/>
      <c r="J19" s="12"/>
    </row>
    <row r="20" customFormat="false" ht="24" hidden="false" customHeight="true" outlineLevel="0" collapsed="false">
      <c r="A20" s="66" t="s">
        <v>527</v>
      </c>
      <c r="B20" s="12" t="s">
        <v>522</v>
      </c>
      <c r="C20" s="12" t="s">
        <v>528</v>
      </c>
      <c r="D20" s="12" t="s">
        <v>524</v>
      </c>
      <c r="E20" s="17" t="n">
        <v>46339</v>
      </c>
      <c r="F20" s="16" t="s">
        <v>463</v>
      </c>
      <c r="G20" s="16" t="s">
        <v>464</v>
      </c>
      <c r="H20" s="16" t="s">
        <v>93</v>
      </c>
      <c r="I20" s="16" t="s">
        <v>529</v>
      </c>
      <c r="J20" s="12"/>
    </row>
    <row r="21" customFormat="false" ht="31.5" hidden="false" customHeight="true" outlineLevel="0" collapsed="false">
      <c r="A21" s="66" t="s">
        <v>189</v>
      </c>
      <c r="B21" s="12" t="s">
        <v>530</v>
      </c>
      <c r="C21" s="12" t="s">
        <v>531</v>
      </c>
      <c r="D21" s="12" t="s">
        <v>497</v>
      </c>
      <c r="E21" s="17" t="n">
        <v>46325</v>
      </c>
      <c r="F21" s="16" t="s">
        <v>463</v>
      </c>
      <c r="G21" s="16" t="s">
        <v>498</v>
      </c>
      <c r="H21" s="16" t="s">
        <v>95</v>
      </c>
      <c r="I21" s="16" t="s">
        <v>532</v>
      </c>
      <c r="J21" s="12" t="s">
        <v>533</v>
      </c>
    </row>
    <row r="22" customFormat="false" ht="24" hidden="false" customHeight="true" outlineLevel="0" collapsed="false">
      <c r="A22" s="66" t="s">
        <v>534</v>
      </c>
      <c r="B22" s="12" t="s">
        <v>535</v>
      </c>
      <c r="C22" s="12" t="s">
        <v>536</v>
      </c>
      <c r="D22" s="12" t="s">
        <v>537</v>
      </c>
      <c r="E22" s="17" t="n">
        <v>46395</v>
      </c>
      <c r="F22" s="16" t="s">
        <v>463</v>
      </c>
      <c r="G22" s="16" t="s">
        <v>464</v>
      </c>
      <c r="H22" s="16" t="s">
        <v>94</v>
      </c>
      <c r="I22" s="16" t="s">
        <v>345</v>
      </c>
      <c r="J22" s="12"/>
    </row>
    <row r="23" customFormat="false" ht="31.5" hidden="false" customHeight="true" outlineLevel="0" collapsed="false">
      <c r="A23" s="66" t="s">
        <v>538</v>
      </c>
      <c r="B23" s="12" t="s">
        <v>522</v>
      </c>
      <c r="C23" s="12" t="s">
        <v>539</v>
      </c>
      <c r="D23" s="12" t="s">
        <v>524</v>
      </c>
      <c r="E23" s="17" t="n">
        <v>46318</v>
      </c>
      <c r="F23" s="16" t="s">
        <v>470</v>
      </c>
      <c r="G23" s="16" t="s">
        <v>464</v>
      </c>
      <c r="H23" s="16" t="s">
        <v>93</v>
      </c>
      <c r="I23" s="16" t="s">
        <v>540</v>
      </c>
      <c r="J23" s="12" t="s">
        <v>541</v>
      </c>
    </row>
  </sheetData>
  <autoFilter ref="A4:J23"/>
  <conditionalFormatting sqref="F5:F65">
    <cfRule type="cellIs" priority="2" operator="equal" aboveAverage="0" equalAverage="0" bottom="0" percent="0" rank="0" text="" dxfId="1">
      <formula>"Done"</formula>
    </cfRule>
    <cfRule type="cellIs" priority="3" operator="equal" aboveAverage="0" equalAverage="0" bottom="0" percent="0" rank="0" text="" dxfId="16">
      <formula>"In Progress"</formula>
    </cfRule>
    <cfRule type="cellIs" priority="4" operator="equal" aboveAverage="0" equalAverage="0" bottom="0" percent="0" rank="0" text="" dxfId="3">
      <formula>"At Risk"</formula>
    </cfRule>
    <cfRule type="cellIs" priority="5" operator="equal" aboveAverage="0" equalAverage="0" bottom="0" percent="0" rank="0" text="" dxfId="0">
      <formula>"Blocked"</formula>
    </cfRule>
    <cfRule type="cellIs" priority="6" operator="equal" aboveAverage="0" equalAverage="0" bottom="0" percent="0" rank="0" text="" dxfId="17">
      <formula>"Not Started"</formula>
    </cfRule>
  </conditionalFormatting>
  <dataValidations count="3">
    <dataValidation allowBlank="true" errorStyle="stop" operator="between" showDropDown="false" showErrorMessage="false" showInputMessage="false" sqref="F5:F65" type="list">
      <formula1>"Not Started,In Progress,Done,At Risk,Blocked"</formula1>
      <formula2>0</formula2>
    </dataValidation>
    <dataValidation allowBlank="true" errorStyle="stop" operator="between" showDropDown="false" showErrorMessage="false" showInputMessage="false" sqref="G5:G65" type="list">
      <formula1>"Yes,No"</formula1>
      <formula2>0</formula2>
    </dataValidation>
    <dataValidation allowBlank="true" errorStyle="stop" operator="between" showDropDown="false" showErrorMessage="false" showInputMessage="false" sqref="H5:H65" type="list">
      <formula1>"Go-live,Pilot,Wave 1,Wave 2,General availability"</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2026-09-11T00:28:47Z</dcterms:created>
  <dc:creator>openpyxl</dc:creator>
  <dc:description/>
  <dc:language>en-US</dc:language>
  <cp:lastModifiedBy/>
  <dcterms:modified xsi:type="dcterms:W3CDTF">2026-09-11T00:28:50Z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