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Hypercare" sheetId="3" state="visible" r:id="rId5"/>
    <sheet name="Support &amp; Incidents" sheetId="4" state="visible" r:id="rId6"/>
    <sheet name="KPI Triggers" sheetId="5" state="visible" r:id="rId7"/>
    <sheet name="Benefits Tracker" sheetId="6" state="visible" r:id="rId8"/>
    <sheet name="Iteration Roadmap" sheetId="7" state="visible" r:id="rId9"/>
    <sheet name="BAU Transition" sheetId="8" state="visible" r:id="rId10"/>
    <sheet name="Reviews &amp; Lessons" sheetId="9" state="visible" r:id="rId11"/>
  </sheets>
  <definedNames>
    <definedName function="false" hidden="false" localSheetId="6" name="_xlnm.Print_Area" vbProcedure="false">'Iteration Roadmap'!$A$1:$P$16</definedName>
    <definedName function="false" hidden="true" localSheetId="6" name="_xlnm._FilterDatabase" vbProcedure="false">'Iteration Roadmap'!$A$4:$P$16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<sst xmlns="http://schemas.openxmlformats.org/spreadsheetml/2006/main" count="1015" uniqueCount="670">
  <si>
    <t xml:space="preserve">Post-Launch Plan</t>
  </si>
  <si>
    <t xml:space="preserve">Merchant Payment Operations &amp; Dispute Hub</t>
  </si>
  <si>
    <t xml:space="preserve">Document</t>
  </si>
  <si>
    <t xml:space="preserve">Hypercare, support model, KPI triggers, benefits tracking, iteration roadmap, BAU transition, reviews and lessons learned</t>
  </si>
  <si>
    <t xml:space="preserve">Version</t>
  </si>
  <si>
    <t xml:space="preserve">1.0</t>
  </si>
  <si>
    <t xml:space="preserve">Reporting date</t>
  </si>
  <si>
    <t xml:space="preserve">Go-live date</t>
  </si>
  <si>
    <t xml:space="preserve">Prepared by</t>
  </si>
  <si>
    <t xml:space="preserve">Bhawna, Product Owner</t>
  </si>
  <si>
    <t xml:space="preserve">Companion documents</t>
  </si>
  <si>
    <t xml:space="preserve">RAID_Log, Change_Log, Product_Backlog, RTM, KPI_Definitions, Business_Case_GTM and Engagement_Plan workbooks</t>
  </si>
  <si>
    <t xml:space="preserve">Project type</t>
  </si>
  <si>
    <t xml:space="preserve">Simulation / portfolio project prepared to demonstrate Product Owner practice. Not an actual client system; all dates, targets and teams are illustrative.</t>
  </si>
  <si>
    <t xml:space="preserve">Purpose</t>
  </si>
  <si>
    <t xml:space="preserve">Sets out what happens after go-live so the launch turns into lasting value: how the platform is stabilized in hypercare, how incidents are handled, which KPI signals trigger action, how benefits are tracked against the business case, what the product does next, how ownership moves to business-as-usual teams, and when results are reviewed.</t>
  </si>
  <si>
    <t xml:space="preserve">Post-launch lifecycle</t>
  </si>
  <si>
    <t xml:space="preserve">Stage</t>
  </si>
  <si>
    <t xml:space="preserve">What it covers</t>
  </si>
  <si>
    <t xml:space="preserve">1. Hypercare</t>
  </si>
  <si>
    <t xml:space="preserve">Go-live on 11-Dec-2026 to hypercare exit on 22-Jan-2027: intensive support, holiday change freeze, then evidenced exit criteria.</t>
  </si>
  <si>
    <t xml:space="preserve">2. Operate and measure</t>
  </si>
  <si>
    <t xml:space="preserve">Support tiers, severity targets and playbooks; KPI triggers reviewed daily, weekly and monthly.</t>
  </si>
  <si>
    <t xml:space="preserve">3. Realize benefits</t>
  </si>
  <si>
    <t xml:space="preserve">Quarterly targets that roll up to the business case; actuals entered each quarter with status calculated automatically.</t>
  </si>
  <si>
    <t xml:space="preserve">4. Iterate</t>
  </si>
  <si>
    <t xml:space="preserve">Roadmap of improvements from pilot feedback, KPI triggers and Phase 2 commitments, prioritized by value and effort.</t>
  </si>
  <si>
    <t xml:space="preserve">5. Transition to BAU</t>
  </si>
  <si>
    <t xml:space="preserve">Runbooks, dashboards, backlog and vendor ownership handed to client teams; email dispute intake retired wave by wave.</t>
  </si>
  <si>
    <t xml:space="preserve">6. Review and learn</t>
  </si>
  <si>
    <t xml:space="preserve">Go / no-go reviews, post-implementation review, quarterly benefits reviews and a lessons learned log.</t>
  </si>
  <si>
    <t xml:space="preserve">How to maintain</t>
  </si>
  <si>
    <t xml:space="preserve">1. During hypercare, enter actuals for exit criteria daily; status calculates against thresholds.</t>
  </si>
  <si>
    <t xml:space="preserve">2. Each quarter, enter benefit actuals; update the business case if variance persists for two quarters.</t>
  </si>
  <si>
    <t xml:space="preserve">3. Re-score roadmap items after each review; the board on the Dashboard re-orders automatically.</t>
  </si>
  <si>
    <t xml:space="preserve">4. Add lessons after each review and sprint retrospective; turn each lesson into an action with an owner.</t>
  </si>
  <si>
    <t xml:space="preserve">Blue text on yellow cells are inputs. Grey columns calculate automatically. Dashboard date windows use the reporting date.</t>
  </si>
  <si>
    <t xml:space="preserve">Version history</t>
  </si>
  <si>
    <t xml:space="preserve">Date</t>
  </si>
  <si>
    <t xml:space="preserve">Author</t>
  </si>
  <si>
    <t xml:space="preserve">Change summary</t>
  </si>
  <si>
    <t xml:space="preserve">Bhawna</t>
  </si>
  <si>
    <t xml:space="preserve">Initial post-launch plan prepared before go-live for steering committee review.</t>
  </si>
  <si>
    <t xml:space="preserve">Post-Launch Dashboard</t>
  </si>
  <si>
    <t xml:space="preserve">Merchant Payment Operations &amp; Dispute Hub · Simulation project · Plan view before go-live; status fills in as actuals are entered</t>
  </si>
  <si>
    <t xml:space="preserve">Summary</t>
  </si>
  <si>
    <t xml:space="preserve">Days to go-live</t>
  </si>
  <si>
    <t xml:space="preserve">Hypercare exit criteria met</t>
  </si>
  <si>
    <t xml:space="preserve">KPI triggers</t>
  </si>
  <si>
    <t xml:space="preserve">Roadmap: Now</t>
  </si>
  <si>
    <t xml:space="preserve">Roadmap: Next</t>
  </si>
  <si>
    <t xml:space="preserve">Roadmap: Later</t>
  </si>
  <si>
    <t xml:space="preserve">BAU handovers accepted</t>
  </si>
  <si>
    <t xml:space="preserve">Lessons captured</t>
  </si>
  <si>
    <t xml:space="preserve">Hypercare timeline and exit</t>
  </si>
  <si>
    <t xml:space="preserve">Phase</t>
  </si>
  <si>
    <t xml:space="preserve">Start</t>
  </si>
  <si>
    <t xml:space="preserve">End</t>
  </si>
  <si>
    <t xml:space="preserve">Days</t>
  </si>
  <si>
    <t xml:space="preserve">Lead</t>
  </si>
  <si>
    <t xml:space="preserve">Coverage</t>
  </si>
  <si>
    <t xml:space="preserve">Exit recommendation</t>
  </si>
  <si>
    <t xml:space="preserve">Benefits path: quarterly targets</t>
  </si>
  <si>
    <t xml:space="preserve">Measure</t>
  </si>
  <si>
    <t xml:space="preserve">2027 Q1</t>
  </si>
  <si>
    <t xml:space="preserve">2027 Q2</t>
  </si>
  <si>
    <t xml:space="preserve">2027 Q3</t>
  </si>
  <si>
    <t xml:space="preserve">2027 Q4</t>
  </si>
  <si>
    <t xml:space="preserve">2028 Q1</t>
  </si>
  <si>
    <t xml:space="preserve">2028 Q2</t>
  </si>
  <si>
    <t xml:space="preserve">2028 Q3</t>
  </si>
  <si>
    <t xml:space="preserve">2028 Q4</t>
  </si>
  <si>
    <t xml:space="preserve">Iteration roadmap board (ordered by priority)</t>
  </si>
  <si>
    <t xml:space="preserve">Upcoming reviews</t>
  </si>
  <si>
    <t xml:space="preserve">Review</t>
  </si>
  <si>
    <t xml:space="preserve">Chair</t>
  </si>
  <si>
    <t xml:space="preserve">Decision or output</t>
  </si>
  <si>
    <t xml:space="preserve">Days away</t>
  </si>
  <si>
    <t xml:space="preserve">BAU handover by area</t>
  </si>
  <si>
    <t xml:space="preserve">Area</t>
  </si>
  <si>
    <t xml:space="preserve">Items</t>
  </si>
  <si>
    <t xml:space="preserve">Accepted</t>
  </si>
  <si>
    <t xml:space="preserve">In progress</t>
  </si>
  <si>
    <t xml:space="preserve">Not started or at risk</t>
  </si>
  <si>
    <t xml:space="preserve">Support</t>
  </si>
  <si>
    <t xml:space="preserve">Product</t>
  </si>
  <si>
    <t xml:space="preserve">Data</t>
  </si>
  <si>
    <t xml:space="preserve">Technology</t>
  </si>
  <si>
    <t xml:space="preserve">Knowledge</t>
  </si>
  <si>
    <t xml:space="preserve">Operations</t>
  </si>
  <si>
    <t xml:space="preserve">Commercial</t>
  </si>
  <si>
    <t xml:space="preserve">Hypercare Plan</t>
  </si>
  <si>
    <t xml:space="preserve">Merchant Payment Operations &amp; Dispute Hub · Simulation project · Stabilize after go-live and exit on evidence, not on a date</t>
  </si>
  <si>
    <t xml:space="preserve">Enter Actual values (blue) during hypercare. Status calculates against each threshold.</t>
  </si>
  <si>
    <t xml:space="preserve">Hypercare phases</t>
  </si>
  <si>
    <t xml:space="preserve">ID</t>
  </si>
  <si>
    <t xml:space="preserve">Context</t>
  </si>
  <si>
    <t xml:space="preserve">Rituals</t>
  </si>
  <si>
    <t xml:space="preserve">HC-P1</t>
  </si>
  <si>
    <t xml:space="preserve">Intensive hypercare</t>
  </si>
  <si>
    <t xml:space="preserve">Go-live week with internal users and controlled traffic</t>
  </si>
  <si>
    <t xml:space="preserve">Daily 09:00 and 16:00 hypercare stand-ups; engineers co-located with dispute ops; war room channel</t>
  </si>
  <si>
    <t xml:space="preserve">Business hours plus on-call; squads on standby</t>
  </si>
  <si>
    <t xml:space="preserve">Tech Lead</t>
  </si>
  <si>
    <t xml:space="preserve">HC-P2</t>
  </si>
  <si>
    <t xml:space="preserve">Stabilization during change freeze</t>
  </si>
  <si>
    <t xml:space="preserve">Holiday change freeze; emergency fixes only</t>
  </si>
  <si>
    <t xml:space="preserve">Daily 09:00 stand-up; weekly steering update; freeze exception process for Sev 1 and Sev 2 fixes</t>
  </si>
  <si>
    <t xml:space="preserve">Reduced rota plus on-call; named holiday cover for every role</t>
  </si>
  <si>
    <t xml:space="preserve">Project Manager</t>
  </si>
  <si>
    <t xml:space="preserve">HC-P3</t>
  </si>
  <si>
    <t xml:space="preserve">Pilot hypercare and exit readiness</t>
  </si>
  <si>
    <t xml:space="preserve">Pilot merchants onboard; exit criteria evidenced</t>
  </si>
  <si>
    <t xml:space="preserve">Daily stand-up; pilot feedback triage; hypercare exit review on 22-Jan</t>
  </si>
  <si>
    <t xml:space="preserve">Business hours plus on-call; handover shadowing with run team</t>
  </si>
  <si>
    <t xml:space="preserve">Product Owner</t>
  </si>
  <si>
    <t xml:space="preserve">Exit criteria</t>
  </si>
  <si>
    <t xml:space="preserve">Criterion</t>
  </si>
  <si>
    <t xml:space="preserve">Type</t>
  </si>
  <si>
    <t xml:space="preserve">Direction</t>
  </si>
  <si>
    <t xml:space="preserve">Threshold</t>
  </si>
  <si>
    <t xml:space="preserve">Actual</t>
  </si>
  <si>
    <t xml:space="preserve">Status</t>
  </si>
  <si>
    <t xml:space="preserve">Evidence</t>
  </si>
  <si>
    <t xml:space="preserve">Owner</t>
  </si>
  <si>
    <t xml:space="preserve">Linked items</t>
  </si>
  <si>
    <t xml:space="preserve">EX-01</t>
  </si>
  <si>
    <t xml:space="preserve">No open Sev 1 or Sev 2 incidents</t>
  </si>
  <si>
    <t xml:space="preserve">Consecutive business days with zero open Sev 1 / Sev 2</t>
  </si>
  <si>
    <t xml:space="preserve">Numeric</t>
  </si>
  <si>
    <t xml:space="preserve">≥</t>
  </si>
  <si>
    <t xml:space="preserve">Incident tool report</t>
  </si>
  <si>
    <t xml:space="preserve">Support &amp; Incidents</t>
  </si>
  <si>
    <t xml:space="preserve">EX-02</t>
  </si>
  <si>
    <t xml:space="preserve">Sev 3 backlog under control</t>
  </si>
  <si>
    <t xml:space="preserve">Open Sev 3 incidents, all with owner and target date</t>
  </si>
  <si>
    <t xml:space="preserve">≤</t>
  </si>
  <si>
    <t xml:space="preserve">EX-03</t>
  </si>
  <si>
    <t xml:space="preserve">Status updates are current</t>
  </si>
  <si>
    <t xml:space="preserve">Status sync latency p95 over last 10 business days (minutes)</t>
  </si>
  <si>
    <t xml:space="preserve">Status event log dashboard</t>
  </si>
  <si>
    <t xml:space="preserve">KPI-12, R-03</t>
  </si>
  <si>
    <t xml:space="preserve">EX-04</t>
  </si>
  <si>
    <t xml:space="preserve">Processor feed reliable</t>
  </si>
  <si>
    <t xml:space="preserve">Feed freshness breaches in last 2 weeks</t>
  </si>
  <si>
    <t xml:space="preserve">Monitoring alerts</t>
  </si>
  <si>
    <t xml:space="preserve">KPI-13, D-01</t>
  </si>
  <si>
    <t xml:space="preserve">EX-05</t>
  </si>
  <si>
    <t xml:space="preserve">Portal performance</t>
  </si>
  <si>
    <t xml:space="preserve">API response time p95 at daily peak (seconds)</t>
  </si>
  <si>
    <t xml:space="preserve">APM dashboard</t>
  </si>
  <si>
    <t xml:space="preserve">KPI-14, R-09</t>
  </si>
  <si>
    <t xml:space="preserve">EX-06</t>
  </si>
  <si>
    <t xml:space="preserve">No card data exposure</t>
  </si>
  <si>
    <t xml:space="preserve">Confirmed card number detections since go-live</t>
  </si>
  <si>
    <t xml:space="preserve">Redaction logs and DLP scans</t>
  </si>
  <si>
    <t xml:space="preserve">Compliance Lead</t>
  </si>
  <si>
    <t xml:space="preserve">KPI-16, CTL-01</t>
  </si>
  <si>
    <t xml:space="preserve">EX-07</t>
  </si>
  <si>
    <t xml:space="preserve">Missed deadlines not caused by the platform</t>
  </si>
  <si>
    <t xml:space="preserve">Disputes expired due to a platform defect</t>
  </si>
  <si>
    <t xml:space="preserve">Expired dispute root-cause log</t>
  </si>
  <si>
    <t xml:space="preserve">Dispute Ops Lead</t>
  </si>
  <si>
    <t xml:space="preserve">KPI-04</t>
  </si>
  <si>
    <t xml:space="preserve">EX-08</t>
  </si>
  <si>
    <t xml:space="preserve">Monitoring alerts tuned</t>
  </si>
  <si>
    <t xml:space="preserve">Share of alerts that were false positives in last 2 weeks</t>
  </si>
  <si>
    <t xml:space="preserve">Alert review log</t>
  </si>
  <si>
    <t xml:space="preserve">EX-09</t>
  </si>
  <si>
    <t xml:space="preserve">Runbooks accepted by run team</t>
  </si>
  <si>
    <t xml:space="preserve">Run team signs off runbooks for top 10 incident scenarios</t>
  </si>
  <si>
    <t xml:space="preserve">Yes/No</t>
  </si>
  <si>
    <t xml:space="preserve">=</t>
  </si>
  <si>
    <t xml:space="preserve">Yes</t>
  </si>
  <si>
    <t xml:space="preserve">Signed runbook acceptance</t>
  </si>
  <si>
    <t xml:space="preserve">Run Team Lead</t>
  </si>
  <si>
    <t xml:space="preserve">BAU Transition</t>
  </si>
  <si>
    <t xml:space="preserve">EX-10</t>
  </si>
  <si>
    <t xml:space="preserve">Support tiers operating</t>
  </si>
  <si>
    <t xml:space="preserve">L1 servicing and dispute ops resolving or routing tickets without delivery team help</t>
  </si>
  <si>
    <t xml:space="preserve">Ticket routing sample review</t>
  </si>
  <si>
    <t xml:space="preserve">Servicing Lead</t>
  </si>
  <si>
    <t xml:space="preserve">LR-09</t>
  </si>
  <si>
    <t xml:space="preserve">EX-11</t>
  </si>
  <si>
    <t xml:space="preserve">Pilot merchants onboarded</t>
  </si>
  <si>
    <t xml:space="preserve">Pilot merchants with at least one active user</t>
  </si>
  <si>
    <t xml:space="preserve">Amplitude activation report</t>
  </si>
  <si>
    <t xml:space="preserve">Merchant Relationship Lead</t>
  </si>
  <si>
    <t xml:space="preserve">KPI-08, I-06</t>
  </si>
  <si>
    <t xml:space="preserve">EX-12</t>
  </si>
  <si>
    <t xml:space="preserve">Merchant-reported issues triaged</t>
  </si>
  <si>
    <t xml:space="preserve">Pilot feedback items triaged into backlog within 5 business days</t>
  </si>
  <si>
    <t xml:space="preserve">Feedback log</t>
  </si>
  <si>
    <t xml:space="preserve">Iteration Roadmap</t>
  </si>
  <si>
    <t xml:space="preserve">Exit criteria met</t>
  </si>
  <si>
    <t xml:space="preserve">Hypercare exit recommendation</t>
  </si>
  <si>
    <t xml:space="preserve">Support Model &amp; Incident Management</t>
  </si>
  <si>
    <t xml:space="preserve">Merchant Payment Operations &amp; Dispute Hub · Simulation project · Severity targets, support tiers and playbooks</t>
  </si>
  <si>
    <t xml:space="preserve">Severity levels and targets</t>
  </si>
  <si>
    <t xml:space="preserve">Severity</t>
  </si>
  <si>
    <t xml:space="preserve">Label</t>
  </si>
  <si>
    <t xml:space="preserve">Examples</t>
  </si>
  <si>
    <t xml:space="preserve">Response target</t>
  </si>
  <si>
    <t xml:space="preserve">Resolution target</t>
  </si>
  <si>
    <t xml:space="preserve">Communication</t>
  </si>
  <si>
    <t xml:space="preserve">Incident lead</t>
  </si>
  <si>
    <t xml:space="preserve">Sev 1</t>
  </si>
  <si>
    <t xml:space="preserve">Critical</t>
  </si>
  <si>
    <t xml:space="preserve">Portal or processor integration down for all merchants; confirmed card number exposure; status feed down with deadlines at risk</t>
  </si>
  <si>
    <t xml:space="preserve">15 minutes</t>
  </si>
  <si>
    <t xml:space="preserve">4 hours to workaround or fix</t>
  </si>
  <si>
    <t xml:space="preserve">Business Sponsor within 1 hour; merchant status banner; hourly updates</t>
  </si>
  <si>
    <t xml:space="preserve">Incident manager (Tech Lead on call)</t>
  </si>
  <si>
    <t xml:space="preserve">Sev 2</t>
  </si>
  <si>
    <t xml:space="preserve">High</t>
  </si>
  <si>
    <t xml:space="preserve">Evidence submission failing for multiple merchants; reminders not sending; wrong statuses shown to merchants</t>
  </si>
  <si>
    <t xml:space="preserve">30 minutes</t>
  </si>
  <si>
    <t xml:space="preserve">1 business day</t>
  </si>
  <si>
    <t xml:space="preserve">Product Owner within 2 hours; affected merchants contacted by dispute ops</t>
  </si>
  <si>
    <t xml:space="preserve">Sev 3</t>
  </si>
  <si>
    <t xml:space="preserve">Medium</t>
  </si>
  <si>
    <t xml:space="preserve">Issue affecting a single merchant or feature with a workaround; report data delayed</t>
  </si>
  <si>
    <t xml:space="preserve">4 business hours</t>
  </si>
  <si>
    <t xml:space="preserve">5 business days</t>
  </si>
  <si>
    <t xml:space="preserve">Logged in weekly status; merchant updated by servicing</t>
  </si>
  <si>
    <t xml:space="preserve">Sev 4</t>
  </si>
  <si>
    <t xml:space="preserve">Low</t>
  </si>
  <si>
    <t xml:space="preserve">Cosmetic issue, minor text or layout problem, enhancement request</t>
  </si>
  <si>
    <t xml:space="preserve">Next planned release</t>
  </si>
  <si>
    <t xml:space="preserve">Added to backlog; no proactive comms</t>
  </si>
  <si>
    <t xml:space="preserve">Support tiers</t>
  </si>
  <si>
    <t xml:space="preserve">Tier</t>
  </si>
  <si>
    <t xml:space="preserve">Team</t>
  </si>
  <si>
    <t xml:space="preserve">Responsibilities</t>
  </si>
  <si>
    <t xml:space="preserve">Tools</t>
  </si>
  <si>
    <t xml:space="preserve">Route onward when</t>
  </si>
  <si>
    <t xml:space="preserve">L1</t>
  </si>
  <si>
    <t xml:space="preserve">Servicing agents and dispute ops analysts</t>
  </si>
  <si>
    <t xml:space="preserve">First contact for merchants; answer how-to questions; check dispute status; log tickets</t>
  </si>
  <si>
    <t xml:space="preserve">Knowledge base, call scripts, status API console</t>
  </si>
  <si>
    <t xml:space="preserve">Route to L2 if not resolved on first contact or if more than one merchant is affected</t>
  </si>
  <si>
    <t xml:space="preserve">L2</t>
  </si>
  <si>
    <t xml:space="preserve">Run team (product support)</t>
  </si>
  <si>
    <t xml:space="preserve">Diagnose portal and data issues; manage incidents; apply configuration fixes such as reason code data</t>
  </si>
  <si>
    <t xml:space="preserve">Runbooks, monitoring dashboards, admin tools</t>
  </si>
  <si>
    <t xml:space="preserve">Route to L3 for code defects, integration faults or security events</t>
  </si>
  <si>
    <t xml:space="preserve">L3</t>
  </si>
  <si>
    <t xml:space="preserve">Engineering squads and vendors</t>
  </si>
  <si>
    <t xml:space="preserve">Fix code and integration defects; work with processor and storage vendors</t>
  </si>
  <si>
    <t xml:space="preserve">Source code, deployment pipeline, vendor support contracts</t>
  </si>
  <si>
    <t xml:space="preserve">Engage InfoSec immediately for any card data or security event</t>
  </si>
  <si>
    <t xml:space="preserve">Incident playbooks</t>
  </si>
  <si>
    <t xml:space="preserve">Scenario</t>
  </si>
  <si>
    <t xml:space="preserve">Response steps</t>
  </si>
  <si>
    <t xml:space="preserve">PB-01</t>
  </si>
  <si>
    <t xml:space="preserve">Card number found after redaction</t>
  </si>
  <si>
    <t xml:space="preserve">Declare Sev 1; quarantine affected files; notify Compliance and InfoSec within 1 hour; follow the data incident process; root cause before redaction resumes for the affected file type</t>
  </si>
  <si>
    <t xml:space="preserve">KPI-16, CTL-01, R-02</t>
  </si>
  <si>
    <t xml:space="preserve">PB-02</t>
  </si>
  <si>
    <t xml:space="preserve">Processor feed outage</t>
  </si>
  <si>
    <t xml:space="preserve">Declare Sev 1 if more than 2 hours during business hours; show stale-data banner; dispute ops contact merchants with disputes due within 2 days; request deadline extensions where network rules allow</t>
  </si>
  <si>
    <t xml:space="preserve">KPI-13, R-03, D-01</t>
  </si>
  <si>
    <t xml:space="preserve">PB-03</t>
  </si>
  <si>
    <t xml:space="preserve">Evidence submission failures</t>
  </si>
  <si>
    <t xml:space="preserve">Declare Sev 2; switch affected merchants to assisted submission by dispute ops; track deadlines manually until fixed</t>
  </si>
  <si>
    <t xml:space="preserve">US-015, BR-03</t>
  </si>
  <si>
    <t xml:space="preserve">PB-04</t>
  </si>
  <si>
    <t xml:space="preserve">Wrong statuses shown to merchants</t>
  </si>
  <si>
    <t xml:space="preserve">Declare Sev 2; hide affected status labels; correct mapping in reference data; notify affected merchants</t>
  </si>
  <si>
    <t xml:space="preserve">US-020, DEF-03</t>
  </si>
  <si>
    <t xml:space="preserve">PB-05</t>
  </si>
  <si>
    <t xml:space="preserve">Settlement report variance</t>
  </si>
  <si>
    <t xml:space="preserve">Hold settlement reports if variance exceeds 1%; label data provisional; finance and data engineering reconcile before release</t>
  </si>
  <si>
    <t xml:space="preserve">Finance Lead</t>
  </si>
  <si>
    <t xml:space="preserve">KPI-15, R-05</t>
  </si>
  <si>
    <t xml:space="preserve">Monitoring Cadence &amp; KPI Triggers</t>
  </si>
  <si>
    <t xml:space="preserve">Merchant Payment Operations &amp; Dispute Hub · Simulation project · Thresholds that turn a KPI signal into a named action</t>
  </si>
  <si>
    <t xml:space="preserve">KPI IDs refer to the KPI_Definitions workbook.</t>
  </si>
  <si>
    <t xml:space="preserve">Review cadence</t>
  </si>
  <si>
    <t xml:space="preserve">Forum</t>
  </si>
  <si>
    <t xml:space="preserve">Frequency</t>
  </si>
  <si>
    <t xml:space="preserve">KPIs and inputs</t>
  </si>
  <si>
    <t xml:space="preserve">When</t>
  </si>
  <si>
    <t xml:space="preserve">Daily hypercare stand-up</t>
  </si>
  <si>
    <t xml:space="preserve">Daily during hypercare</t>
  </si>
  <si>
    <t xml:space="preserve">Incidents, KPI-12, KPI-13, KPI-14, KPI-16, pilot issues</t>
  </si>
  <si>
    <t xml:space="preserve">Until hypercare exit</t>
  </si>
  <si>
    <t xml:space="preserve">Weekly KPI review</t>
  </si>
  <si>
    <t xml:space="preserve">Weekly</t>
  </si>
  <si>
    <t xml:space="preserve">KPI-03, KPI-04, KPI-06, KPI-08 to KPI-11, open triggers</t>
  </si>
  <si>
    <t xml:space="preserve">From go-live</t>
  </si>
  <si>
    <t xml:space="preserve">Monthly business review</t>
  </si>
  <si>
    <t xml:space="preserve">Monthly</t>
  </si>
  <si>
    <t xml:space="preserve">Business Sponsor</t>
  </si>
  <si>
    <t xml:space="preserve">All Outcome KPIs, benefits tracker, trigger actions, roadmap changes</t>
  </si>
  <si>
    <t xml:space="preserve">From February 2027</t>
  </si>
  <si>
    <t xml:space="preserve">Quarterly benefits review</t>
  </si>
  <si>
    <t xml:space="preserve">Quarterly</t>
  </si>
  <si>
    <t xml:space="preserve">Steering Committee</t>
  </si>
  <si>
    <t xml:space="preserve">Benefits realization vs business case, scenario refresh, wave decisions</t>
  </si>
  <si>
    <t xml:space="preserve">From April 2027</t>
  </si>
  <si>
    <t xml:space="preserve">KPI</t>
  </si>
  <si>
    <t xml:space="preserve">Signal</t>
  </si>
  <si>
    <t xml:space="preserve">Trigger threshold</t>
  </si>
  <si>
    <t xml:space="preserve">Response</t>
  </si>
  <si>
    <t xml:space="preserve">Response time</t>
  </si>
  <si>
    <t xml:space="preserve">Review forum</t>
  </si>
  <si>
    <t xml:space="preserve">TR-01</t>
  </si>
  <si>
    <t xml:space="preserve">KPI-16</t>
  </si>
  <si>
    <t xml:space="preserve">Card data exposure incidents</t>
  </si>
  <si>
    <t xml:space="preserve">Any confirmed detection</t>
  </si>
  <si>
    <t xml:space="preserve">Run playbook PB-01</t>
  </si>
  <si>
    <t xml:space="preserve">Immediate</t>
  </si>
  <si>
    <t xml:space="preserve">Incident process</t>
  </si>
  <si>
    <t xml:space="preserve">TR-02</t>
  </si>
  <si>
    <t xml:space="preserve">KPI-13</t>
  </si>
  <si>
    <t xml:space="preserve">Feed freshness breach</t>
  </si>
  <si>
    <t xml:space="preserve">No updates for 2 hours in business hours</t>
  </si>
  <si>
    <t xml:space="preserve">Run playbook PB-02</t>
  </si>
  <si>
    <t xml:space="preserve">TR-03</t>
  </si>
  <si>
    <t xml:space="preserve">KPI-12</t>
  </si>
  <si>
    <t xml:space="preserve">Status sync latency p95</t>
  </si>
  <si>
    <t xml:space="preserve">Above 10 minutes for a day</t>
  </si>
  <si>
    <t xml:space="preserve">Raise Sev 2; investigate webhook backlog; enable polling fallback</t>
  </si>
  <si>
    <t xml:space="preserve">Same day</t>
  </si>
  <si>
    <t xml:space="preserve">TR-04</t>
  </si>
  <si>
    <t xml:space="preserve">KPI-14</t>
  </si>
  <si>
    <t xml:space="preserve">API response time p95</t>
  </si>
  <si>
    <t xml:space="preserve">Above 3 seconds at daily peak</t>
  </si>
  <si>
    <t xml:space="preserve">Raise Sev 2; scale infrastructure; review slow endpoints</t>
  </si>
  <si>
    <t xml:space="preserve">TR-05</t>
  </si>
  <si>
    <t xml:space="preserve">KPI-08</t>
  </si>
  <si>
    <t xml:space="preserve">Pilot activation rate</t>
  </si>
  <si>
    <t xml:space="preserve">Below 45% at week 4 of pilot</t>
  </si>
  <si>
    <t xml:space="preserve">Pilot intervention: call each inactive merchant, fix onboarding blockers, extend pilot if needed</t>
  </si>
  <si>
    <t xml:space="preserve">1 week</t>
  </si>
  <si>
    <t xml:space="preserve">TR-06</t>
  </si>
  <si>
    <t xml:space="preserve">KPI-03</t>
  </si>
  <si>
    <t xml:space="preserve">On-time response rate</t>
  </si>
  <si>
    <t xml:space="preserve">Below 90% for 2 consecutive weeks</t>
  </si>
  <si>
    <t xml:space="preserve">Review reminder timing and ops follow-up; check deadline accuracy</t>
  </si>
  <si>
    <t xml:space="preserve">TR-07</t>
  </si>
  <si>
    <t xml:space="preserve">KPI-10</t>
  </si>
  <si>
    <t xml:space="preserve">Evidence submission completion</t>
  </si>
  <si>
    <t xml:space="preserve">Below 70% for 2 weeks</t>
  </si>
  <si>
    <t xml:space="preserve">UX review of upload and submit flow using funnel drop-off and session feedback</t>
  </si>
  <si>
    <t xml:space="preserve">2 weeks</t>
  </si>
  <si>
    <t xml:space="preserve">TR-08</t>
  </si>
  <si>
    <t xml:space="preserve">KPI-06</t>
  </si>
  <si>
    <t xml:space="preserve">Portal evidence share</t>
  </si>
  <si>
    <t xml:space="preserve">More than 10 points below the wave target</t>
  </si>
  <si>
    <t xml:space="preserve">Targeted adoption campaign for the segment; RM outreach to top email senders</t>
  </si>
  <si>
    <t xml:space="preserve">TR-09</t>
  </si>
  <si>
    <t xml:space="preserve">KPI-05</t>
  </si>
  <si>
    <t xml:space="preserve">Ops handling time</t>
  </si>
  <si>
    <t xml:space="preserve">Above 32 minutes for a month</t>
  </si>
  <si>
    <t xml:space="preserve">Time study on slowest dispute types; backlog items for automation</t>
  </si>
  <si>
    <t xml:space="preserve">1 month</t>
  </si>
  <si>
    <t xml:space="preserve">TR-10</t>
  </si>
  <si>
    <t xml:space="preserve">KPI-15</t>
  </si>
  <si>
    <t xml:space="preserve">Settlement reconciliation variance</t>
  </si>
  <si>
    <t xml:space="preserve">Above 1% for a month</t>
  </si>
  <si>
    <t xml:space="preserve">Run playbook PB-05</t>
  </si>
  <si>
    <t xml:space="preserve">Before month-end reports</t>
  </si>
  <si>
    <t xml:space="preserve">TR-11</t>
  </si>
  <si>
    <t xml:space="preserve">KPI-17</t>
  </si>
  <si>
    <t xml:space="preserve">Critical or serious accessibility issue</t>
  </si>
  <si>
    <t xml:space="preserve">Any new issue on a live screen</t>
  </si>
  <si>
    <t xml:space="preserve">Fix in next release; interim assisted support for affected users</t>
  </si>
  <si>
    <t xml:space="preserve">UX Designer</t>
  </si>
  <si>
    <t xml:space="preserve">Next release</t>
  </si>
  <si>
    <t xml:space="preserve">TR-12</t>
  </si>
  <si>
    <t xml:space="preserve">KPI-18</t>
  </si>
  <si>
    <t xml:space="preserve">Merchant satisfaction</t>
  </si>
  <si>
    <t xml:space="preserve">Below 3.8 for a month</t>
  </si>
  <si>
    <t xml:space="preserve">Review verbatim feedback; add top themes to Iteration Roadmap</t>
  </si>
  <si>
    <t xml:space="preserve">Benefits Realization Tracker</t>
  </si>
  <si>
    <t xml:space="preserve">Merchant Payment Operations &amp; Dispute Hub · Simulation project · Quarterly KPI targets that roll up to the base business case</t>
  </si>
  <si>
    <t xml:space="preserve">Targets are inputs from the base case. Enter actuals each quarter; status: On track meets target, Watch within 10%, Off track beyond 10%.</t>
  </si>
  <si>
    <t xml:space="preserve">Quarterly targets (base case)</t>
  </si>
  <si>
    <t xml:space="preserve">Unit</t>
  </si>
  <si>
    <t xml:space="preserve">Baseline</t>
  </si>
  <si>
    <t xml:space="preserve">Notes</t>
  </si>
  <si>
    <t xml:space="preserve">%</t>
  </si>
  <si>
    <t xml:space="preserve">Higher</t>
  </si>
  <si>
    <t xml:space="preserve">Quarterly path averages 35% in 2027 and 60% in 2028, matching the base business case.</t>
  </si>
  <si>
    <t xml:space="preserve">Ops handling time per dispute</t>
  </si>
  <si>
    <t xml:space="preserve">minutes</t>
  </si>
  <si>
    <t xml:space="preserve">Lower</t>
  </si>
  <si>
    <t xml:space="preserve">Reaches the 25-minute target by end of 2028.</t>
  </si>
  <si>
    <t xml:space="preserve">Missed-deadline loss rate</t>
  </si>
  <si>
    <t xml:space="preserve">Settlement contacts per 100 merchants</t>
  </si>
  <si>
    <t xml:space="preserve">KPI-07</t>
  </si>
  <si>
    <t xml:space="preserve">count</t>
  </si>
  <si>
    <t xml:space="preserve">Definition still Proposed in KPI catalog.</t>
  </si>
  <si>
    <t xml:space="preserve">Dispute value recovery rate</t>
  </si>
  <si>
    <t xml:space="preserve">KPI-01</t>
  </si>
  <si>
    <t xml:space="preserve">Pending CR-05 outcome definitions.</t>
  </si>
  <si>
    <t xml:space="preserve">Quarterly actuals (enter each quarter)</t>
  </si>
  <si>
    <t xml:space="preserve">Annual benefits vs business case (base scenario, USD)</t>
  </si>
  <si>
    <t xml:space="preserve">Year</t>
  </si>
  <si>
    <t xml:space="preserve">Planned benefits</t>
  </si>
  <si>
    <t xml:space="preserve">Actual benefits</t>
  </si>
  <si>
    <t xml:space="preserve">Realization</t>
  </si>
  <si>
    <t xml:space="preserve">2027 (Y1)</t>
  </si>
  <si>
    <t xml:space="preserve">2028 (Y2)</t>
  </si>
  <si>
    <t xml:space="preserve">2029 (Y3)</t>
  </si>
  <si>
    <t xml:space="preserve">Planned benefits are copied from the Business_Case_GTM workbook (base scenario). Update them if the business case is refreshed at a review gate.</t>
  </si>
  <si>
    <t xml:space="preserve">Merchant Payment Operations &amp; Dispute Hub · Simulation project · What the product does next, prioritized by value per unit of effort</t>
  </si>
  <si>
    <t xml:space="preserve">Effort points: S=1, M=2, L=3, XL=5. Priority score = value ÷ effort points. Rank is unique.</t>
  </si>
  <si>
    <t xml:space="preserve">Initiative</t>
  </si>
  <si>
    <t xml:space="preserve">Problem or opportunity</t>
  </si>
  <si>
    <t xml:space="preserve">Source</t>
  </si>
  <si>
    <t xml:space="preserve">KPI impact</t>
  </si>
  <si>
    <t xml:space="preserve">Horizon</t>
  </si>
  <si>
    <t xml:space="preserve">Target quarter</t>
  </si>
  <si>
    <t xml:space="preserve">Effort</t>
  </si>
  <si>
    <t xml:space="preserve">Value (1-5)</t>
  </si>
  <si>
    <t xml:space="preserve">Effort points</t>
  </si>
  <si>
    <t xml:space="preserve">Priority score</t>
  </si>
  <si>
    <t xml:space="preserve">Rank</t>
  </si>
  <si>
    <t xml:space="preserve">Decision gate</t>
  </si>
  <si>
    <t xml:space="preserve">h_now</t>
  </si>
  <si>
    <t xml:space="preserve">h_next</t>
  </si>
  <si>
    <t xml:space="preserve">h_later</t>
  </si>
  <si>
    <t xml:space="preserve">IR-01</t>
  </si>
  <si>
    <t xml:space="preserve">Pilot feedback fixes</t>
  </si>
  <si>
    <t xml:space="preserve">Usability issues found by pilot merchants</t>
  </si>
  <si>
    <t xml:space="preserve">Pilot feedback</t>
  </si>
  <si>
    <t xml:space="preserve">CM-11, KPI-10</t>
  </si>
  <si>
    <t xml:space="preserve">KPI-10, KPI-18</t>
  </si>
  <si>
    <t xml:space="preserve">Now</t>
  </si>
  <si>
    <t xml:space="preserve">S</t>
  </si>
  <si>
    <t xml:space="preserve">Planned</t>
  </si>
  <si>
    <t xml:space="preserve">Pilot exit review</t>
  </si>
  <si>
    <t xml:space="preserve">IR-02</t>
  </si>
  <si>
    <t xml:space="preserve">Merchant satisfaction survey</t>
  </si>
  <si>
    <t xml:space="preserve">No direct measure of merchant sentiment</t>
  </si>
  <si>
    <t xml:space="preserve">KPI catalog gap</t>
  </si>
  <si>
    <t xml:space="preserve">IR-03</t>
  </si>
  <si>
    <t xml:space="preserve">Evidence templates by reason code</t>
  </si>
  <si>
    <t xml:space="preserve">Merchants unsure what evidence wins each dispute type</t>
  </si>
  <si>
    <t xml:space="preserve">Pilot hypothesis; US-007</t>
  </si>
  <si>
    <t xml:space="preserve">US-007, KPI-01</t>
  </si>
  <si>
    <t xml:space="preserve">KPI-01, KPI-02</t>
  </si>
  <si>
    <t xml:space="preserve">Next</t>
  </si>
  <si>
    <t xml:space="preserve">M</t>
  </si>
  <si>
    <t xml:space="preserve">Discovery</t>
  </si>
  <si>
    <t xml:space="preserve">Wave 1 go / no-go</t>
  </si>
  <si>
    <t xml:space="preserve">IR-04</t>
  </si>
  <si>
    <t xml:space="preserve">Reason code admin screen</t>
  </si>
  <si>
    <t xml:space="preserve">Rule updates still need engineering support</t>
  </si>
  <si>
    <t xml:space="preserve">CR-02 Option C</t>
  </si>
  <si>
    <t xml:space="preserve">CR-02, US-047</t>
  </si>
  <si>
    <t xml:space="preserve">Ops effort</t>
  </si>
  <si>
    <t xml:space="preserve">Quarterly roadmap review</t>
  </si>
  <si>
    <t xml:space="preserve">IR-05</t>
  </si>
  <si>
    <t xml:space="preserve">SMS deadline reminders</t>
  </si>
  <si>
    <t xml:space="preserve">Urgent reminders missed when users are away from email</t>
  </si>
  <si>
    <t xml:space="preserve">CR-09</t>
  </si>
  <si>
    <t xml:space="preserve">CR-09, US-027</t>
  </si>
  <si>
    <t xml:space="preserve">KPI-03, KPI-04</t>
  </si>
  <si>
    <t xml:space="preserve">Idea</t>
  </si>
  <si>
    <t xml:space="preserve">CR-09 decision</t>
  </si>
  <si>
    <t xml:space="preserve">IR-06</t>
  </si>
  <si>
    <t xml:space="preserve">Fraud case management in the hub</t>
  </si>
  <si>
    <t xml:space="preserve">Analysts switch systems to see and act on fraud cases</t>
  </si>
  <si>
    <t xml:space="preserve">CR-01 Phase 2 commitment</t>
  </si>
  <si>
    <t xml:space="preserve">CR-01, US-045, D-07</t>
  </si>
  <si>
    <t xml:space="preserve">XL</t>
  </si>
  <si>
    <t xml:space="preserve">Fraud Operations Lead</t>
  </si>
  <si>
    <t xml:space="preserve">Phase 2 funding decision</t>
  </si>
  <si>
    <t xml:space="preserve">IR-07</t>
  </si>
  <si>
    <t xml:space="preserve">Spanish language portal</t>
  </si>
  <si>
    <t xml:space="preserve">Spanish-speaking merchants rely on a PDF guide</t>
  </si>
  <si>
    <t xml:space="preserve">CR-04 deferral</t>
  </si>
  <si>
    <t xml:space="preserve">CR-04, US-046</t>
  </si>
  <si>
    <t xml:space="preserve">L</t>
  </si>
  <si>
    <t xml:space="preserve">IR-08</t>
  </si>
  <si>
    <t xml:space="preserve">Recurring billing and travel evidence guidance</t>
  </si>
  <si>
    <t xml:space="preserve">Wave 2 segments have complex evidence needs</t>
  </si>
  <si>
    <t xml:space="preserve">Segment prioritization</t>
  </si>
  <si>
    <t xml:space="preserve">Rollout Plan Wave 2</t>
  </si>
  <si>
    <t xml:space="preserve">KPI-01, KPI-06</t>
  </si>
  <si>
    <t xml:space="preserve">Wave 2 go / no-go</t>
  </si>
  <si>
    <t xml:space="preserve">IR-09</t>
  </si>
  <si>
    <t xml:space="preserve">Auto-accept rules for low-value disputes</t>
  </si>
  <si>
    <t xml:space="preserve">Merchants spend time on disputes not worth contesting</t>
  </si>
  <si>
    <t xml:space="preserve">Ops insight</t>
  </si>
  <si>
    <t xml:space="preserve">Later</t>
  </si>
  <si>
    <t xml:space="preserve">Post-implementation review</t>
  </si>
  <si>
    <t xml:space="preserve">IR-10</t>
  </si>
  <si>
    <t xml:space="preserve">Marketplace sub-merchant model</t>
  </si>
  <si>
    <t xml:space="preserve">Marketplaces can't manage disputes for sub-merchants</t>
  </si>
  <si>
    <t xml:space="preserve">Segments: Marketplaces</t>
  </si>
  <si>
    <t xml:space="preserve">2028 planning</t>
  </si>
  <si>
    <t xml:space="preserve">IR-11</t>
  </si>
  <si>
    <t xml:space="preserve">Evidence quality checks before submission</t>
  </si>
  <si>
    <t xml:space="preserve">Weak evidence leads to avoidable losses</t>
  </si>
  <si>
    <t xml:space="preserve">KPI-02 analysis</t>
  </si>
  <si>
    <t xml:space="preserve">KPI-02</t>
  </si>
  <si>
    <t xml:space="preserve">IR-12</t>
  </si>
  <si>
    <t xml:space="preserve">Retire email dispute intake</t>
  </si>
  <si>
    <t xml:space="preserve">Parallel email channel keeps ops cost high</t>
  </si>
  <si>
    <t xml:space="preserve">Business case</t>
  </si>
  <si>
    <t xml:space="preserve">Rollout Plan Phase 4, KPI-06</t>
  </si>
  <si>
    <t xml:space="preserve">KPI-05, KPI-06</t>
  </si>
  <si>
    <t xml:space="preserve">General availability go / no-go</t>
  </si>
  <si>
    <t xml:space="preserve">Merchant Payment Operations &amp; Dispute Hub · Simulation project · Moving ownership from the delivery team to business-as-usual teams</t>
  </si>
  <si>
    <t xml:space="preserve">Update Status as each handover is accepted by the receiving team.</t>
  </si>
  <si>
    <t xml:space="preserve">Handover item</t>
  </si>
  <si>
    <t xml:space="preserve">From</t>
  </si>
  <si>
    <t xml:space="preserve">To</t>
  </si>
  <si>
    <t xml:space="preserve">Due date</t>
  </si>
  <si>
    <t xml:space="preserve">Acceptance criteria</t>
  </si>
  <si>
    <t xml:space="preserve">BT-01</t>
  </si>
  <si>
    <t xml:space="preserve">Runbooks for top 10 incident scenarios</t>
  </si>
  <si>
    <t xml:space="preserve">Delivery squads</t>
  </si>
  <si>
    <t xml:space="preserve">Run team</t>
  </si>
  <si>
    <t xml:space="preserve">Not Started</t>
  </si>
  <si>
    <t xml:space="preserve">Run team walks through each runbook and signs off (EX-09)</t>
  </si>
  <si>
    <t xml:space="preserve">BT-02</t>
  </si>
  <si>
    <t xml:space="preserve">On-call rota and incident manager role</t>
  </si>
  <si>
    <t xml:space="preserve">Run team covers two consecutive weeks of on-call without delivery squad escalation</t>
  </si>
  <si>
    <t xml:space="preserve">BT-03</t>
  </si>
  <si>
    <t xml:space="preserve">Monitoring dashboards and alert ownership</t>
  </si>
  <si>
    <t xml:space="preserve">Alert routing updated; false positive rate under 10% (EX-08)</t>
  </si>
  <si>
    <t xml:space="preserve">BT-04</t>
  </si>
  <si>
    <t xml:space="preserve">Product backlog and roadmap ownership</t>
  </si>
  <si>
    <t xml:space="preserve">Delivery partner Product Owner</t>
  </si>
  <si>
    <t xml:space="preserve">Client product owner</t>
  </si>
  <si>
    <t xml:space="preserve">Client product owner runs two refinement sessions and one sprint review</t>
  </si>
  <si>
    <t xml:space="preserve">BT-05</t>
  </si>
  <si>
    <t xml:space="preserve">Decision, RAID and change log archive</t>
  </si>
  <si>
    <t xml:space="preserve">Client PMO</t>
  </si>
  <si>
    <t xml:space="preserve">Open items transferred with owners; closed items archived</t>
  </si>
  <si>
    <t xml:space="preserve">BT-06</t>
  </si>
  <si>
    <t xml:space="preserve">KPI dashboards and data definitions</t>
  </si>
  <si>
    <t xml:space="preserve">Finance Lead and Dispute Ops Lead</t>
  </si>
  <si>
    <t xml:space="preserve">Owners publish one monthly business review pack without delivery team help</t>
  </si>
  <si>
    <t xml:space="preserve">BT-07</t>
  </si>
  <si>
    <t xml:space="preserve">Analytics tracking plan maintenance</t>
  </si>
  <si>
    <t xml:space="preserve">Data Governance Lead</t>
  </si>
  <si>
    <t xml:space="preserve">Tracking plan change process documented and approved</t>
  </si>
  <si>
    <t xml:space="preserve">BT-08</t>
  </si>
  <si>
    <t xml:space="preserve">Access, credentials and environment ownership</t>
  </si>
  <si>
    <t xml:space="preserve">Client technology team</t>
  </si>
  <si>
    <t xml:space="preserve">Delivery partner access reviewed and removed or re-approved</t>
  </si>
  <si>
    <t xml:space="preserve">BT-09</t>
  </si>
  <si>
    <t xml:space="preserve">Vendor contacts, contracts and support SLAs</t>
  </si>
  <si>
    <t xml:space="preserve">Vendor Manager</t>
  </si>
  <si>
    <t xml:space="preserve">Processor and storage vendor escalation contacts confirmed</t>
  </si>
  <si>
    <t xml:space="preserve">BT-10</t>
  </si>
  <si>
    <t xml:space="preserve">Knowledge transfer sessions (architecture, integrations, data)</t>
  </si>
  <si>
    <t xml:space="preserve">Client engineering and run team</t>
  </si>
  <si>
    <t xml:space="preserve">Attendance recorded; recordings and Q&amp;A log stored</t>
  </si>
  <si>
    <t xml:space="preserve">BT-11</t>
  </si>
  <si>
    <t xml:space="preserve">Dispute ops procedures updated for portal-first process</t>
  </si>
  <si>
    <t xml:space="preserve">Dispute ops team</t>
  </si>
  <si>
    <t xml:space="preserve">In Progress</t>
  </si>
  <si>
    <t xml:space="preserve">Procedures published; team trained</t>
  </si>
  <si>
    <t xml:space="preserve">BT-12</t>
  </si>
  <si>
    <t xml:space="preserve">Warranty period and defect support terms</t>
  </si>
  <si>
    <t xml:space="preserve">Engagement Lead</t>
  </si>
  <si>
    <t xml:space="preserve">Warranty scope, duration and exit agreed in writing</t>
  </si>
  <si>
    <t xml:space="preserve">Email dispute intake retirement</t>
  </si>
  <si>
    <t xml:space="preserve">Wave</t>
  </si>
  <si>
    <t xml:space="preserve">Action</t>
  </si>
  <si>
    <t xml:space="preserve">Criteria to proceed</t>
  </si>
  <si>
    <t xml:space="preserve">Wave 1</t>
  </si>
  <si>
    <t xml:space="preserve">Auto-reply on dispute mailbox points Wave 1 merchants to the portal</t>
  </si>
  <si>
    <t xml:space="preserve">Wave 1 onboarding started</t>
  </si>
  <si>
    <t xml:space="preserve">Stop accepting emailed evidence from onboarded Wave 1 merchants (assisted exceptions only)</t>
  </si>
  <si>
    <t xml:space="preserve">Portal share at least 35% in Wave 1 merchants; no open Sev 1 or Sev 2</t>
  </si>
  <si>
    <t xml:space="preserve">Wave 2</t>
  </si>
  <si>
    <t xml:space="preserve">Stop accepting emailed evidence from Wave 2 merchants</t>
  </si>
  <si>
    <t xml:space="preserve">Wave 2 exit gates met</t>
  </si>
  <si>
    <t xml:space="preserve">General availability</t>
  </si>
  <si>
    <t xml:space="preserve">Retire email intake for all portal-enabled merchants; keep assisted channel for accessibility and exceptions</t>
  </si>
  <si>
    <t xml:space="preserve">GA exit gates met; ops capacity plan agreed (LR-17)</t>
  </si>
  <si>
    <t xml:space="preserve">Reviews &amp; Lessons Learned</t>
  </si>
  <si>
    <t xml:space="preserve">Merchant Payment Operations &amp; Dispute Hub · Simulation project · Decision reviews after launch and lessons carried forward</t>
  </si>
  <si>
    <t xml:space="preserve">Review calendar</t>
  </si>
  <si>
    <t xml:space="preserve">Inputs</t>
  </si>
  <si>
    <t xml:space="preserve">Days from reporting date</t>
  </si>
  <si>
    <t xml:space="preserve">h</t>
  </si>
  <si>
    <t xml:space="preserve">RV-01</t>
  </si>
  <si>
    <t xml:space="preserve">Go-live go / no-go</t>
  </si>
  <si>
    <t xml:space="preserve">Confirm launch readiness</t>
  </si>
  <si>
    <t xml:space="preserve">Launch readiness checklist, UAT exit, security sign-off</t>
  </si>
  <si>
    <t xml:space="preserve">Go-live decision</t>
  </si>
  <si>
    <t xml:space="preserve">Scheduled</t>
  </si>
  <si>
    <t xml:space="preserve">RV-02</t>
  </si>
  <si>
    <t xml:space="preserve">Hypercare exit review</t>
  </si>
  <si>
    <t xml:space="preserve">Confirm stability and handover to run team</t>
  </si>
  <si>
    <t xml:space="preserve">Hypercare exit criteria, BAU transition status</t>
  </si>
  <si>
    <t xml:space="preserve">Hypercare exit decision</t>
  </si>
  <si>
    <t xml:space="preserve">RV-03</t>
  </si>
  <si>
    <t xml:space="preserve">Decide whether to proceed to Wave 1</t>
  </si>
  <si>
    <t xml:space="preserve">Pilot results report, KPI exit gates</t>
  </si>
  <si>
    <t xml:space="preserve">RV-04</t>
  </si>
  <si>
    <t xml:space="preserve">Assess delivery, early benefits and lessons learned</t>
  </si>
  <si>
    <t xml:space="preserve">Lessons log, benefits tracker Q1, incident summary</t>
  </si>
  <si>
    <t xml:space="preserve">Improvement actions; business case refresh</t>
  </si>
  <si>
    <t xml:space="preserve">RV-05</t>
  </si>
  <si>
    <t xml:space="preserve">Quarterly benefits review (Q1)</t>
  </si>
  <si>
    <t xml:space="preserve">Compare Q1 benefits with plan</t>
  </si>
  <si>
    <t xml:space="preserve">Benefits tracker</t>
  </si>
  <si>
    <t xml:space="preserve">Benefits status; corrective actions</t>
  </si>
  <si>
    <t xml:space="preserve">RV-06</t>
  </si>
  <si>
    <t xml:space="preserve">Decide whether to proceed to Wave 2</t>
  </si>
  <si>
    <t xml:space="preserve">Wave 1 exit gates, benefits tracker</t>
  </si>
  <si>
    <t xml:space="preserve">Wave 2 decision</t>
  </si>
  <si>
    <t xml:space="preserve">RV-07</t>
  </si>
  <si>
    <t xml:space="preserve">Quarterly benefits review (Q2)</t>
  </si>
  <si>
    <t xml:space="preserve">Compare Q2 benefits with plan</t>
  </si>
  <si>
    <t xml:space="preserve">RV-08</t>
  </si>
  <si>
    <t xml:space="preserve">Decide whether to launch to all merchants</t>
  </si>
  <si>
    <t xml:space="preserve">Wave 2 exit gates, ops capacity plan</t>
  </si>
  <si>
    <t xml:space="preserve">GA decision</t>
  </si>
  <si>
    <t xml:space="preserve">RV-09</t>
  </si>
  <si>
    <t xml:space="preserve">Quarterly benefits review (Q3)</t>
  </si>
  <si>
    <t xml:space="preserve">Compare Q3 benefits with plan</t>
  </si>
  <si>
    <t xml:space="preserve">RV-10</t>
  </si>
  <si>
    <t xml:space="preserve">Annual benefits review (Year 1)</t>
  </si>
  <si>
    <t xml:space="preserve">Year 1 benefits vs business case; Phase 2 priorities</t>
  </si>
  <si>
    <t xml:space="preserve">Benefits tracker, roadmap, KPI results</t>
  </si>
  <si>
    <t xml:space="preserve">Year 2 targets; Phase 2 scope</t>
  </si>
  <si>
    <t xml:space="preserve">Lessons learned log</t>
  </si>
  <si>
    <t xml:space="preserve">What happened</t>
  </si>
  <si>
    <t xml:space="preserve">Impact</t>
  </si>
  <si>
    <t xml:space="preserve">Lesson</t>
  </si>
  <si>
    <t xml:space="preserve">Action for next phase</t>
  </si>
  <si>
    <t xml:space="preserve">LL-01</t>
  </si>
  <si>
    <t xml:space="preserve">Build</t>
  </si>
  <si>
    <t xml:space="preserve">Processor sandbox returned inconsistent status values</t>
  </si>
  <si>
    <t xml:space="preserve">Webhook story blocked; status mapping defect in SIT</t>
  </si>
  <si>
    <t xml:space="preserve">Validate vendor sandboxes against documented values during discovery</t>
  </si>
  <si>
    <t xml:space="preserve">Add contract tests for processor status values; include in vendor onboarding checklist</t>
  </si>
  <si>
    <t xml:space="preserve">I-01, DEF-03</t>
  </si>
  <si>
    <t xml:space="preserve">LL-02</t>
  </si>
  <si>
    <t xml:space="preserve">Finance and ops defined dispute win rate differently</t>
  </si>
  <si>
    <t xml:space="preserve">Reporting stories stalled; decision escalated</t>
  </si>
  <si>
    <t xml:space="preserve">Agree KPI definitions with owners before building reports</t>
  </si>
  <si>
    <t xml:space="preserve">Hold a KPI definition workshop at the start of each new metric-heavy epic</t>
  </si>
  <si>
    <t xml:space="preserve">I-05, CR-05</t>
  </si>
  <si>
    <t xml:space="preserve">LL-03</t>
  </si>
  <si>
    <t xml:space="preserve">Penetration test slot booked too late</t>
  </si>
  <si>
    <t xml:space="preserve">UAT start at risk; CR-06 raised</t>
  </si>
  <si>
    <t xml:space="preserve">Book security testing slots at mobilization, not mid-build</t>
  </si>
  <si>
    <t xml:space="preserve">Add security testing dates to the mobilization checklist</t>
  </si>
  <si>
    <t xml:space="preserve">D-03, CR-06</t>
  </si>
  <si>
    <t xml:space="preserve">LL-04</t>
  </si>
  <si>
    <t xml:space="preserve">Design sign-off waited two weeks for stakeholder review</t>
  </si>
  <si>
    <t xml:space="preserve">Sprint 5 refinement blocked</t>
  </si>
  <si>
    <t xml:space="preserve">Time-box design reviews and name one approver</t>
  </si>
  <si>
    <t xml:space="preserve">Design authority approves within 5 business days or escalates</t>
  </si>
  <si>
    <t xml:space="preserve">I-03</t>
  </si>
  <si>
    <t xml:space="preserve">LL-05</t>
  </si>
  <si>
    <t xml:space="preserve">Analytics tracking plan reached data governance late</t>
  </si>
  <si>
    <t xml:space="preserve">Pilot adoption metrics blocked</t>
  </si>
  <si>
    <t xml:space="preserve">Involve data governance when the tracking plan is first drafted</t>
  </si>
  <si>
    <t xml:space="preserve">Add data governance to Definition of Ready for analytics stories</t>
  </si>
  <si>
    <t xml:space="preserve">I-06</t>
  </si>
  <si>
    <t xml:space="preserve">LL-06</t>
  </si>
  <si>
    <t xml:space="preserve">Approved change swapped into sprint using a similar-sized story</t>
  </si>
  <si>
    <t xml:space="preserve">No release impact; clear audit trail</t>
  </si>
  <si>
    <t xml:space="preserve">Swapping stories keeps scope stable when a small change is urgent</t>
  </si>
  <si>
    <t xml:space="preserve">Keep swap-and-note practice; record the swapped story in Notes</t>
  </si>
  <si>
    <t xml:space="preserve">CR-07, US-017</t>
  </si>
</sst>
</file>

<file path=xl/styles.xml><?xml version="1.0" encoding="utf-8"?>
<styleSheet xmlns="http://schemas.openxmlformats.org/spreadsheetml/2006/main">
  <numFmts count="10">
    <numFmt numFmtId="164" formatCode="General"/>
    <numFmt numFmtId="165" formatCode="dd\-mmm\-yyyy"/>
    <numFmt numFmtId="166" formatCode="General"/>
    <numFmt numFmtId="167" formatCode="0.0%"/>
    <numFmt numFmtId="168" formatCode="0"/>
    <numFmt numFmtId="169" formatCode="0.0"/>
    <numFmt numFmtId="170" formatCode="0%"/>
    <numFmt numFmtId="171" formatCode="\$#,##0"/>
    <numFmt numFmtId="172" formatCode="0.00"/>
    <numFmt numFmtId="173" formatCode="mm/dd/yy"/>
  </numFmts>
  <fonts count="27">
    <font>
      <sz val="11"/>
      <color theme="1"/>
      <name val="Calibri"/>
      <family val="2"/>
      <charset val="1"/>
    </font>
    <font>
      <sz val="10"/>
      <name val="Arial"/>
      <family val="0"/>
    </font>
    <font>
      <sz val="10"/>
      <name val="Arial"/>
      <family val="0"/>
    </font>
    <font>
      <sz val="10"/>
      <name val="Arial"/>
      <family val="0"/>
    </font>
    <font>
      <b val="true"/>
      <sz val="24"/>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sz val="10"/>
      <color rgb="FF0000FF"/>
      <name val="Arial"/>
      <family val="0"/>
      <charset val="1"/>
    </font>
    <font>
      <b val="true"/>
      <sz val="10"/>
      <color rgb="FF0000FF"/>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8"/>
      <color rgb="FF1F3A5F"/>
      <name val="Arial"/>
      <family val="0"/>
      <charset val="1"/>
    </font>
    <font>
      <i val="true"/>
      <sz val="10"/>
      <color rgb="FF595959"/>
      <name val="Arial"/>
      <family val="0"/>
      <charset val="1"/>
    </font>
    <font>
      <b val="true"/>
      <sz val="14"/>
      <color rgb="FF1F3A5F"/>
      <name val="Arial"/>
      <family val="0"/>
      <charset val="1"/>
    </font>
    <font>
      <b val="true"/>
      <sz val="10"/>
      <color rgb="FF008000"/>
      <name val="Arial"/>
      <family val="0"/>
      <charset val="1"/>
    </font>
    <font>
      <sz val="10"/>
      <color rgb="FF008000"/>
      <name val="Arial"/>
      <family val="0"/>
      <charset val="1"/>
    </font>
    <font>
      <b val="true"/>
      <sz val="10"/>
      <color rgb="FF9C0006"/>
      <name val="Arial"/>
      <family val="0"/>
      <charset val="1"/>
    </font>
    <font>
      <b val="true"/>
      <sz val="10"/>
      <color rgb="FF9C5700"/>
      <name val="Arial"/>
      <family val="0"/>
      <charset val="1"/>
    </font>
    <font>
      <b val="true"/>
      <sz val="10"/>
      <color rgb="FF595959"/>
      <name val="Arial"/>
      <family val="0"/>
      <charset val="1"/>
    </font>
    <font>
      <sz val="9"/>
      <color rgb="FF000000"/>
      <name val="Arial"/>
      <family val="0"/>
      <charset val="1"/>
    </font>
    <font>
      <b val="true"/>
      <sz val="18"/>
      <color rgb="FF000000"/>
      <name val="Calibri"/>
      <family val="2"/>
    </font>
    <font>
      <sz val="10"/>
      <color rgb="FF000000"/>
      <name val="Calibri"/>
      <family val="2"/>
    </font>
    <font>
      <b val="true"/>
      <sz val="16"/>
      <color rgb="FF1F3A5F"/>
      <name val="Arial"/>
      <family val="0"/>
      <charset val="1"/>
    </font>
    <font>
      <i val="true"/>
      <sz val="9"/>
      <color rgb="FF7F7F7F"/>
      <name val="Arial"/>
      <family val="0"/>
      <charset val="1"/>
    </font>
    <font>
      <b val="true"/>
      <sz val="10"/>
      <color rgb="FFFFFFFF"/>
      <name val="Arial"/>
      <family val="0"/>
      <charset val="1"/>
    </font>
  </fonts>
  <fills count="10">
    <fill>
      <patternFill patternType="none"/>
    </fill>
    <fill>
      <patternFill patternType="gray125"/>
    </fill>
    <fill>
      <patternFill patternType="solid">
        <fgColor rgb="FFFFF2CC"/>
        <bgColor rgb="FFF2F2F2"/>
      </patternFill>
    </fill>
    <fill>
      <patternFill patternType="solid">
        <fgColor rgb="FF1F3A5F"/>
        <bgColor rgb="FF1F4E78"/>
      </patternFill>
    </fill>
    <fill>
      <patternFill patternType="solid">
        <fgColor rgb="FFD9D9D9"/>
        <bgColor rgb="FFDDEBF7"/>
      </patternFill>
    </fill>
    <fill>
      <patternFill patternType="solid">
        <fgColor rgb="FFFFC7CE"/>
        <bgColor rgb="FFD9D9D9"/>
      </patternFill>
    </fill>
    <fill>
      <patternFill patternType="solid">
        <fgColor rgb="FFFFEB9C"/>
        <bgColor rgb="FFFFF2CC"/>
      </patternFill>
    </fill>
    <fill>
      <patternFill patternType="solid">
        <fgColor rgb="FFEDEDED"/>
        <bgColor rgb="FFF2F2F2"/>
      </patternFill>
    </fill>
    <fill>
      <patternFill patternType="solid">
        <fgColor rgb="FF2E7D8C"/>
        <bgColor rgb="FF008080"/>
      </patternFill>
    </fill>
    <fill>
      <patternFill patternType="solid">
        <fgColor rgb="FFF2F2F2"/>
        <bgColor rgb="FFEDEDED"/>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5" fontId="8" fillId="2" borderId="0" xfId="0" applyFont="true" applyBorder="true" applyAlignment="true" applyProtection="false">
      <alignment horizontal="left" vertical="top" textRotation="0" wrapText="true" indent="0" shrinkToFit="false"/>
      <protection locked="true" hidden="false"/>
    </xf>
    <xf numFmtId="165" fontId="9" fillId="2"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5"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5" fontId="17" fillId="0" borderId="1" xfId="0" applyFont="true" applyBorder="true" applyAlignment="true" applyProtection="false">
      <alignment horizontal="center" vertical="top" textRotation="0" wrapText="true" indent="0" shrinkToFit="false"/>
      <protection locked="true" hidden="false"/>
    </xf>
    <xf numFmtId="166" fontId="17" fillId="0" borderId="1" xfId="0" applyFont="true" applyBorder="true" applyAlignment="true" applyProtection="false">
      <alignment horizontal="center"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7" fontId="17" fillId="0" borderId="1" xfId="0" applyFont="true" applyBorder="true" applyAlignment="true" applyProtection="false">
      <alignment horizontal="center" vertical="top" textRotation="0" wrapText="true" indent="0" shrinkToFit="false"/>
      <protection locked="true" hidden="false"/>
    </xf>
    <xf numFmtId="168" fontId="17" fillId="0" borderId="1" xfId="0" applyFont="true" applyBorder="true" applyAlignment="true" applyProtection="false">
      <alignment horizontal="center" vertical="top" textRotation="0" wrapText="true" indent="0" shrinkToFit="false"/>
      <protection locked="true" hidden="false"/>
    </xf>
    <xf numFmtId="169" fontId="17" fillId="0" borderId="1" xfId="0" applyFont="true" applyBorder="true" applyAlignment="true" applyProtection="false">
      <alignment horizontal="center" vertical="top" textRotation="0" wrapText="true" indent="0" shrinkToFit="false"/>
      <protection locked="true" hidden="false"/>
    </xf>
    <xf numFmtId="164" fontId="18" fillId="5" borderId="1" xfId="0" applyFont="true" applyBorder="true" applyAlignment="true" applyProtection="false">
      <alignment horizontal="center" vertical="center" textRotation="0" wrapText="true" indent="0" shrinkToFit="false"/>
      <protection locked="true" hidden="false"/>
    </xf>
    <xf numFmtId="164" fontId="19" fillId="6" borderId="1" xfId="0" applyFont="true" applyBorder="true" applyAlignment="true" applyProtection="false">
      <alignment horizontal="center" vertical="center" textRotation="0" wrapText="true" indent="0" shrinkToFit="false"/>
      <protection locked="true" hidden="false"/>
    </xf>
    <xf numFmtId="164" fontId="20" fillId="7"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general" vertical="center"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6" fillId="3" borderId="1" xfId="0" applyFont="true" applyBorder="true" applyAlignment="true" applyProtection="false">
      <alignment horizontal="center" vertical="center" textRotation="0" wrapText="true" indent="0" shrinkToFit="false"/>
      <protection locked="true" hidden="false"/>
    </xf>
    <xf numFmtId="164" fontId="26" fillId="8" borderId="1" xfId="0" applyFont="true" applyBorder="true" applyAlignment="true" applyProtection="false">
      <alignment horizontal="center" vertical="center" textRotation="0" wrapText="true" indent="0" shrinkToFit="false"/>
      <protection locked="true" hidden="false"/>
    </xf>
    <xf numFmtId="166" fontId="7" fillId="9"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9" fillId="2" borderId="1" xfId="0" applyFont="true" applyBorder="true" applyAlignment="true" applyProtection="false">
      <alignment horizontal="center" vertical="top" textRotation="0" wrapText="true" indent="0" shrinkToFit="false"/>
      <protection locked="true" hidden="false"/>
    </xf>
    <xf numFmtId="164" fontId="12" fillId="9" borderId="1" xfId="0" applyFont="true" applyBorder="true" applyAlignment="true" applyProtection="false">
      <alignment horizontal="center" vertical="top" textRotation="0" wrapText="true" indent="0" shrinkToFit="false"/>
      <protection locked="true" hidden="false"/>
    </xf>
    <xf numFmtId="170" fontId="9" fillId="2" borderId="1" xfId="0" applyFont="true" applyBorder="true" applyAlignment="true" applyProtection="false">
      <alignment horizontal="center" vertical="top" textRotation="0" wrapText="true" indent="0" shrinkToFit="false"/>
      <protection locked="true" hidden="false"/>
    </xf>
    <xf numFmtId="167" fontId="9" fillId="2" borderId="1" xfId="0" applyFont="true" applyBorder="true" applyAlignment="true" applyProtection="false">
      <alignment horizontal="right" vertical="top" textRotation="0" wrapText="false" indent="0" shrinkToFit="false"/>
      <protection locked="true" hidden="false"/>
    </xf>
    <xf numFmtId="168" fontId="9" fillId="2" borderId="1" xfId="0" applyFont="true" applyBorder="true" applyAlignment="true" applyProtection="false">
      <alignment horizontal="right" vertical="top" textRotation="0" wrapText="false" indent="0" shrinkToFit="false"/>
      <protection locked="true" hidden="false"/>
    </xf>
    <xf numFmtId="169" fontId="9" fillId="2" borderId="1" xfId="0" applyFont="true" applyBorder="true" applyAlignment="true" applyProtection="false">
      <alignment horizontal="right" vertical="top" textRotation="0" wrapText="false" indent="0" shrinkToFit="false"/>
      <protection locked="true" hidden="false"/>
    </xf>
    <xf numFmtId="167" fontId="17" fillId="0" borderId="1" xfId="0" applyFont="true" applyBorder="true" applyAlignment="true" applyProtection="false">
      <alignment horizontal="right" vertical="top" textRotation="0" wrapText="false" indent="0" shrinkToFit="false"/>
      <protection locked="true" hidden="false"/>
    </xf>
    <xf numFmtId="168" fontId="17" fillId="0" borderId="1" xfId="0" applyFont="true" applyBorder="true" applyAlignment="true" applyProtection="false">
      <alignment horizontal="right" vertical="top" textRotation="0" wrapText="false" indent="0" shrinkToFit="false"/>
      <protection locked="true" hidden="false"/>
    </xf>
    <xf numFmtId="169" fontId="17" fillId="0" borderId="1" xfId="0" applyFont="true" applyBorder="true" applyAlignment="true" applyProtection="false">
      <alignment horizontal="right" vertical="top" textRotation="0" wrapText="false" indent="0" shrinkToFit="false"/>
      <protection locked="true" hidden="false"/>
    </xf>
    <xf numFmtId="171" fontId="9" fillId="2" borderId="1" xfId="0" applyFont="true" applyBorder="true" applyAlignment="true" applyProtection="false">
      <alignment horizontal="right" vertical="top" textRotation="0" wrapText="false" indent="0" shrinkToFit="false"/>
      <protection locked="true" hidden="false"/>
    </xf>
    <xf numFmtId="170" fontId="7" fillId="9" borderId="1" xfId="0" applyFont="true" applyBorder="true" applyAlignment="true" applyProtection="false">
      <alignment horizontal="center" vertical="top" textRotation="0" wrapText="true" indent="0" shrinkToFit="false"/>
      <protection locked="true" hidden="false"/>
    </xf>
    <xf numFmtId="172" fontId="7" fillId="9" borderId="1" xfId="0" applyFont="true" applyBorder="true" applyAlignment="true" applyProtection="false">
      <alignment horizontal="center" vertical="top" textRotation="0" wrapText="true" indent="0" shrinkToFit="false"/>
      <protection locked="true" hidden="false"/>
    </xf>
    <xf numFmtId="166" fontId="7" fillId="9" borderId="1" xfId="0" applyFont="true" applyBorder="true" applyAlignment="true" applyProtection="false">
      <alignment horizontal="general" vertical="top" textRotation="0" wrapText="true" indent="0" shrinkToFit="false"/>
      <protection locked="true" hidden="false"/>
    </xf>
    <xf numFmtId="173" fontId="7" fillId="9"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ont>
        <name val="Arial"/>
        <charset val="1"/>
        <family val="0"/>
        <b val="1"/>
        <color rgb="FF006100"/>
        <sz val="10"/>
      </font>
      <fill>
        <patternFill>
          <bgColor rgb="FFC6EFCE"/>
        </patternFill>
      </fill>
    </dxf>
    <dxf>
      <font>
        <name val="Arial"/>
        <charset val="1"/>
        <family val="0"/>
        <b val="1"/>
        <color rgb="FF9C0006"/>
        <sz val="10"/>
      </font>
      <fill>
        <patternFill>
          <bgColor rgb="FFFFC7CE"/>
        </patternFill>
      </fill>
    </dxf>
    <dxf>
      <font>
        <name val="Arial"/>
        <charset val="1"/>
        <family val="0"/>
        <b val="1"/>
        <color rgb="FF595959"/>
        <sz val="10"/>
      </font>
      <fill>
        <patternFill>
          <bgColor rgb="FFEDEDED"/>
        </patternFill>
      </fill>
    </dxf>
    <dxf>
      <font>
        <name val="Arial"/>
        <charset val="1"/>
        <family val="0"/>
        <b val="1"/>
        <color rgb="FF9C5700"/>
        <sz val="10"/>
      </font>
      <fill>
        <patternFill>
          <bgColor rgb="FFFFEB9C"/>
        </patternFill>
      </fill>
    </dxf>
    <dxf>
      <font>
        <name val="Arial"/>
        <charset val="1"/>
        <family val="0"/>
        <b val="1"/>
        <color rgb="FF1F4E78"/>
        <sz val="10"/>
      </font>
      <fill>
        <patternFill>
          <bgColor rgb="FFDDEBF7"/>
        </patternFill>
      </fill>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EDEDED"/>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595959"/>
          <bgColor rgb="FF000000"/>
        </patternFill>
      </fill>
    </dxf>
    <dxf>
      <fill>
        <patternFill patternType="solid">
          <fgColor rgb="FF9C0006"/>
          <bgColor rgb="FF000000"/>
        </patternFill>
      </fill>
    </dxf>
    <dxf>
      <fill>
        <patternFill patternType="solid">
          <fgColor rgb="FF9C5700"/>
          <bgColor rgb="FF000000"/>
        </patternFill>
      </fill>
    </dxf>
    <dxf>
      <fill>
        <patternFill patternType="solid">
          <fgColor rgb="FF2E7D8C"/>
          <bgColor rgb="FF000000"/>
        </patternFill>
      </fill>
    </dxf>
    <dxf>
      <fill>
        <patternFill patternType="solid">
          <fgColor rgb="FFF2F2F2"/>
          <bgColor rgb="FF000000"/>
        </patternFill>
      </fill>
    </dxf>
    <dxf>
      <fill>
        <patternFill patternType="solid">
          <fgColor rgb="FFDDEBF7"/>
          <bgColor rgb="FF000000"/>
        </patternFill>
      </fill>
    </dxf>
    <dxf>
      <fill>
        <patternFill patternType="solid">
          <fgColor rgb="FF1F4E78"/>
          <bgColor rgb="FF000000"/>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7F7F7F"/>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DEDED"/>
      <rgbColor rgb="FFFF99CC"/>
      <rgbColor rgb="FFCC99FF"/>
      <rgbColor rgb="FFFFC7CE"/>
      <rgbColor rgb="FF3366FF"/>
      <rgbColor rgb="FF33CCCC"/>
      <rgbColor rgb="FF99CC00"/>
      <rgbColor rgb="FFFFCC00"/>
      <rgbColor rgb="FFFF9900"/>
      <rgbColor rgb="FFFF6600"/>
      <rgbColor rgb="FF595959"/>
      <rgbColor rgb="FF878787"/>
      <rgbColor rgb="FF1F3A5F"/>
      <rgbColor rgb="FF2E7D8C"/>
      <rgbColor rgb="FF006100"/>
      <rgbColor rgb="FF333300"/>
      <rgbColor rgb="FF9C57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Portal evidence share (KPI-06): target vs actual</a:t>
            </a:r>
          </a:p>
        </c:rich>
      </c:tx>
      <c:overlay val="0"/>
      <c:spPr>
        <a:noFill/>
        <a:ln w="0">
          <a:noFill/>
        </a:ln>
      </c:spPr>
    </c:title>
    <c:autoTitleDeleted val="0"/>
    <c:plotArea>
      <c:lineChart>
        <c:grouping val="standard"/>
        <c:varyColors val="0"/>
        <c:ser>
          <c:idx val="0"/>
          <c:order val="0"/>
          <c:tx>
            <c:strRef>
              <c:f>"Target"</c:f>
              <c:strCache>
                <c:ptCount val="1"/>
                <c:pt idx="0">
                  <c:v>Target</c:v>
                </c:pt>
              </c:strCache>
            </c:strRef>
          </c:tx>
          <c:spPr>
            <a:solidFill>
              <a:srgbClr val="2e7d8c"/>
            </a:solidFill>
            <a:ln w="28080">
              <a:solidFill>
                <a:srgbClr val="2e7d8c"/>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'Benefits Tracker'!$F$6:$M$6</c:f>
              <c:multiLvlStrCache>
                <c:ptCount val="1"/>
                <c:lvl>
                  <c:pt idx="0">
                    <c:v>2028 Q4</c:v>
                  </c:pt>
                </c:lvl>
                <c:lvl>
                  <c:pt idx="0">
                    <c:v>2028 Q3</c:v>
                  </c:pt>
                </c:lvl>
                <c:lvl>
                  <c:pt idx="0">
                    <c:v>2028 Q2</c:v>
                  </c:pt>
                </c:lvl>
                <c:lvl>
                  <c:pt idx="0">
                    <c:v>2028 Q1</c:v>
                  </c:pt>
                </c:lvl>
                <c:lvl>
                  <c:pt idx="0">
                    <c:v>2027 Q4</c:v>
                  </c:pt>
                </c:lvl>
                <c:lvl>
                  <c:pt idx="0">
                    <c:v>2027 Q3</c:v>
                  </c:pt>
                </c:lvl>
                <c:lvl>
                  <c:pt idx="0">
                    <c:v>2027 Q2</c:v>
                  </c:pt>
                </c:lvl>
                <c:lvl>
                  <c:pt idx="0">
                    <c:v>2027 Q1</c:v>
                  </c:pt>
                </c:lvl>
              </c:multiLvlStrCache>
            </c:multiLvlStrRef>
          </c:cat>
          <c:val>
            <c:numRef>
              <c:f>'Benefits Tracker'!$F$7:$M$7</c:f>
              <c:numCache>
                <c:formatCode>0.0%</c:formatCode>
                <c:ptCount val="8"/>
                <c:pt idx="0">
                  <c:v>0.1</c:v>
                </c:pt>
                <c:pt idx="1">
                  <c:v>0.3</c:v>
                </c:pt>
                <c:pt idx="2">
                  <c:v>0.45</c:v>
                </c:pt>
                <c:pt idx="3">
                  <c:v>0.55</c:v>
                </c:pt>
                <c:pt idx="4">
                  <c:v>0.57</c:v>
                </c:pt>
                <c:pt idx="5">
                  <c:v>0.6</c:v>
                </c:pt>
                <c:pt idx="6">
                  <c:v>0.61</c:v>
                </c:pt>
                <c:pt idx="7">
                  <c:v>0.62</c:v>
                </c:pt>
              </c:numCache>
            </c:numRef>
          </c:val>
          <c:smooth val="1"/>
        </c:ser>
        <c:ser>
          <c:idx val="1"/>
          <c:order val="1"/>
          <c:tx>
            <c:strRef>
              <c:f>"Actual"</c:f>
              <c:strCache>
                <c:ptCount val="1"/>
                <c:pt idx="0">
                  <c:v>Actual</c:v>
                </c:pt>
              </c:strCache>
            </c:strRef>
          </c:tx>
          <c:spPr>
            <a:solidFill>
              <a:srgbClr val="c00000"/>
            </a:solidFill>
            <a:ln w="28080">
              <a:solidFill>
                <a:srgbClr val="c0000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'Benefits Tracker'!$F$6:$M$6</c:f>
              <c:multiLvlStrCache>
                <c:ptCount val="1"/>
                <c:lvl>
                  <c:pt idx="0">
                    <c:v>2028 Q4</c:v>
                  </c:pt>
                </c:lvl>
                <c:lvl>
                  <c:pt idx="0">
                    <c:v>2028 Q3</c:v>
                  </c:pt>
                </c:lvl>
                <c:lvl>
                  <c:pt idx="0">
                    <c:v>2028 Q2</c:v>
                  </c:pt>
                </c:lvl>
                <c:lvl>
                  <c:pt idx="0">
                    <c:v>2028 Q1</c:v>
                  </c:pt>
                </c:lvl>
                <c:lvl>
                  <c:pt idx="0">
                    <c:v>2027 Q4</c:v>
                  </c:pt>
                </c:lvl>
                <c:lvl>
                  <c:pt idx="0">
                    <c:v>2027 Q3</c:v>
                  </c:pt>
                </c:lvl>
                <c:lvl>
                  <c:pt idx="0">
                    <c:v>2027 Q2</c:v>
                  </c:pt>
                </c:lvl>
                <c:lvl>
                  <c:pt idx="0">
                    <c:v>2027 Q1</c:v>
                  </c:pt>
                </c:lvl>
              </c:multiLvlStrCache>
            </c:multiLvlStrRef>
          </c:cat>
          <c:val>
            <c:numRef>
              <c:f>'Benefits Tracker'!$F$16:$M$16</c:f>
              <c:numCache>
                <c:formatCode>General</c:formatCode>
                <c:ptCount val="8"/>
              </c:numCache>
            </c:numRef>
          </c:val>
          <c:smooth val="1"/>
        </c:ser>
        <c:hiLowLines>
          <c:spPr>
            <a:ln w="0">
              <a:noFill/>
            </a:ln>
          </c:spPr>
        </c:hiLowLines>
        <c:marker val="0"/>
        <c:axId val="92578889"/>
        <c:axId val="7206342"/>
      </c:lineChart>
      <c:catAx>
        <c:axId val="925788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06342"/>
        <c:crosses val="autoZero"/>
        <c:auto val="1"/>
        <c:lblAlgn val="ctr"/>
        <c:lblOffset val="100"/>
        <c:noMultiLvlLbl val="0"/>
      </c:catAx>
      <c:valAx>
        <c:axId val="7206342"/>
        <c:scaling>
          <c:orientation val="minMax"/>
          <c:max val="0.7"/>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57888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101160</xdr:rowOff>
    </xdr:from>
    <xdr:to>
      <xdr:col>9</xdr:col>
      <xdr:colOff>659520</xdr:colOff>
      <xdr:row>35</xdr:row>
      <xdr:rowOff>154800</xdr:rowOff>
    </xdr:to>
    <xdr:graphicFrame>
      <xdr:nvGraphicFramePr>
        <xdr:cNvPr id="0" name="Chart 1"/>
        <xdr:cNvGraphicFramePr/>
      </xdr:nvGraphicFramePr>
      <xdr:xfrm>
        <a:off x="211320" y="7182000"/>
        <a:ext cx="79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7" min="3" style="0" width="20"/>
  </cols>
  <sheetData>
    <row r="2" customFormat="false" ht="29.15" hidden="false" customHeight="false" outlineLevel="0" collapsed="false">
      <c r="B2" s="1" t="s">
        <v>0</v>
      </c>
    </row>
    <row r="3" customFormat="false" ht="17.35" hidden="false" customHeight="false" outlineLevel="0" collapsed="false">
      <c r="B3" s="2" t="s">
        <v>1</v>
      </c>
    </row>
    <row r="5" customFormat="false" ht="30"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false" outlineLevel="0" collapsed="false">
      <c r="B8" s="3" t="s">
        <v>7</v>
      </c>
      <c r="C8" s="6" t="n">
        <v>46367</v>
      </c>
      <c r="D8" s="6"/>
      <c r="E8" s="6"/>
      <c r="F8" s="6"/>
      <c r="G8" s="6"/>
    </row>
    <row r="9" customFormat="false" ht="15" hidden="false" customHeight="true" outlineLevel="0" collapsed="false">
      <c r="B9" s="3" t="s">
        <v>8</v>
      </c>
      <c r="C9" s="4" t="s">
        <v>9</v>
      </c>
      <c r="D9" s="4"/>
      <c r="E9" s="4"/>
      <c r="F9" s="4"/>
      <c r="G9" s="4"/>
    </row>
    <row r="10" customFormat="false" ht="30" hidden="false" customHeight="true" outlineLevel="0" collapsed="false">
      <c r="B10" s="3" t="s">
        <v>10</v>
      </c>
      <c r="C10" s="4" t="s">
        <v>11</v>
      </c>
      <c r="D10" s="4"/>
      <c r="E10" s="4"/>
      <c r="F10" s="4"/>
      <c r="G10" s="4"/>
    </row>
    <row r="11" customFormat="false" ht="30" hidden="false" customHeight="true" outlineLevel="0" collapsed="false">
      <c r="B11" s="3" t="s">
        <v>12</v>
      </c>
      <c r="C11" s="7" t="s">
        <v>13</v>
      </c>
      <c r="D11" s="7"/>
      <c r="E11" s="7"/>
      <c r="F11" s="7"/>
      <c r="G11" s="7"/>
    </row>
    <row r="13" customFormat="false" ht="19.5" hidden="false" customHeight="true" outlineLevel="0" collapsed="false">
      <c r="B13" s="8" t="s">
        <v>14</v>
      </c>
      <c r="C13" s="9"/>
      <c r="D13" s="9"/>
      <c r="E13" s="9"/>
      <c r="F13" s="9"/>
      <c r="G13" s="9"/>
    </row>
    <row r="14" customFormat="false" ht="43.5" hidden="false" customHeight="true" outlineLevel="0" collapsed="false">
      <c r="B14" s="10" t="s">
        <v>15</v>
      </c>
      <c r="C14" s="10"/>
      <c r="D14" s="10"/>
      <c r="E14" s="10"/>
      <c r="F14" s="10"/>
      <c r="G14" s="10"/>
    </row>
    <row r="16" customFormat="false" ht="19.5" hidden="false" customHeight="true" outlineLevel="0" collapsed="false">
      <c r="B16" s="8" t="s">
        <v>16</v>
      </c>
      <c r="C16" s="9"/>
      <c r="D16" s="9"/>
      <c r="E16" s="9"/>
      <c r="F16" s="9"/>
      <c r="G16" s="9"/>
    </row>
    <row r="17" customFormat="false" ht="15" hidden="false" customHeight="true" outlineLevel="0" collapsed="false">
      <c r="B17" s="11" t="s">
        <v>17</v>
      </c>
      <c r="C17" s="11" t="s">
        <v>18</v>
      </c>
      <c r="D17" s="11"/>
      <c r="E17" s="11"/>
      <c r="F17" s="11"/>
      <c r="G17" s="11"/>
    </row>
    <row r="18" customFormat="false" ht="31.5" hidden="false" customHeight="true" outlineLevel="0" collapsed="false">
      <c r="B18" s="12" t="s">
        <v>19</v>
      </c>
      <c r="C18" s="13" t="s">
        <v>20</v>
      </c>
      <c r="D18" s="13"/>
      <c r="E18" s="13"/>
      <c r="F18" s="13"/>
      <c r="G18" s="13"/>
    </row>
    <row r="19" customFormat="false" ht="18" hidden="false" customHeight="true" outlineLevel="0" collapsed="false">
      <c r="B19" s="12" t="s">
        <v>21</v>
      </c>
      <c r="C19" s="13" t="s">
        <v>22</v>
      </c>
      <c r="D19" s="13"/>
      <c r="E19" s="13"/>
      <c r="F19" s="13"/>
      <c r="G19" s="13"/>
    </row>
    <row r="20" customFormat="false" ht="31.5" hidden="false" customHeight="true" outlineLevel="0" collapsed="false">
      <c r="B20" s="12" t="s">
        <v>23</v>
      </c>
      <c r="C20" s="13" t="s">
        <v>24</v>
      </c>
      <c r="D20" s="13"/>
      <c r="E20" s="13"/>
      <c r="F20" s="13"/>
      <c r="G20" s="13"/>
    </row>
    <row r="21" customFormat="false" ht="31.5" hidden="false" customHeight="true" outlineLevel="0" collapsed="false">
      <c r="B21" s="12" t="s">
        <v>25</v>
      </c>
      <c r="C21" s="13" t="s">
        <v>26</v>
      </c>
      <c r="D21" s="13"/>
      <c r="E21" s="13"/>
      <c r="F21" s="13"/>
      <c r="G21" s="13"/>
    </row>
    <row r="22" customFormat="false" ht="31.5" hidden="false" customHeight="true" outlineLevel="0" collapsed="false">
      <c r="B22" s="12" t="s">
        <v>27</v>
      </c>
      <c r="C22" s="13" t="s">
        <v>28</v>
      </c>
      <c r="D22" s="13"/>
      <c r="E22" s="13"/>
      <c r="F22" s="13"/>
      <c r="G22" s="13"/>
    </row>
    <row r="23" customFormat="false" ht="31.5" hidden="false" customHeight="true" outlineLevel="0" collapsed="false">
      <c r="B23" s="12" t="s">
        <v>29</v>
      </c>
      <c r="C23" s="13" t="s">
        <v>30</v>
      </c>
      <c r="D23" s="13"/>
      <c r="E23" s="13"/>
      <c r="F23" s="13"/>
      <c r="G23" s="13"/>
    </row>
    <row r="25" customFormat="false" ht="19.5" hidden="false" customHeight="true" outlineLevel="0" collapsed="false">
      <c r="B25" s="8" t="s">
        <v>31</v>
      </c>
      <c r="C25" s="9"/>
      <c r="D25" s="9"/>
      <c r="E25" s="9"/>
      <c r="F25" s="9"/>
      <c r="G25" s="9"/>
    </row>
    <row r="26" customFormat="false" ht="18" hidden="false" customHeight="true" outlineLevel="0" collapsed="false">
      <c r="B26" s="10" t="s">
        <v>32</v>
      </c>
      <c r="C26" s="10"/>
      <c r="D26" s="10"/>
      <c r="E26" s="10"/>
      <c r="F26" s="10"/>
      <c r="G26" s="10"/>
    </row>
    <row r="27" customFormat="false" ht="18" hidden="false" customHeight="true" outlineLevel="0" collapsed="false">
      <c r="B27" s="10" t="s">
        <v>33</v>
      </c>
      <c r="C27" s="10"/>
      <c r="D27" s="10"/>
      <c r="E27" s="10"/>
      <c r="F27" s="10"/>
      <c r="G27" s="10"/>
    </row>
    <row r="28" customFormat="false" ht="18" hidden="false" customHeight="true" outlineLevel="0" collapsed="false">
      <c r="B28" s="10" t="s">
        <v>34</v>
      </c>
      <c r="C28" s="10"/>
      <c r="D28" s="10"/>
      <c r="E28" s="10"/>
      <c r="F28" s="10"/>
      <c r="G28" s="10"/>
    </row>
    <row r="29" customFormat="false" ht="18" hidden="false" customHeight="true" outlineLevel="0" collapsed="false">
      <c r="B29" s="10" t="s">
        <v>35</v>
      </c>
      <c r="C29" s="10"/>
      <c r="D29" s="10"/>
      <c r="E29" s="10"/>
      <c r="F29" s="10"/>
      <c r="G29" s="10"/>
    </row>
    <row r="30" customFormat="false" ht="18" hidden="false" customHeight="true" outlineLevel="0" collapsed="false">
      <c r="B30" s="10" t="s">
        <v>36</v>
      </c>
      <c r="C30" s="10"/>
      <c r="D30" s="10"/>
      <c r="E30" s="10"/>
      <c r="F30" s="10"/>
      <c r="G30" s="10"/>
    </row>
    <row r="32" customFormat="false" ht="19.5" hidden="false" customHeight="true" outlineLevel="0" collapsed="false">
      <c r="B32" s="8" t="s">
        <v>37</v>
      </c>
      <c r="C32" s="9"/>
      <c r="D32" s="9"/>
      <c r="E32" s="9"/>
      <c r="F32" s="9"/>
      <c r="G32" s="9"/>
    </row>
    <row r="33" customFormat="false" ht="15" hidden="false" customHeight="true" outlineLevel="0" collapsed="false">
      <c r="B33" s="11" t="s">
        <v>4</v>
      </c>
      <c r="C33" s="11" t="s">
        <v>38</v>
      </c>
      <c r="D33" s="11" t="s">
        <v>39</v>
      </c>
      <c r="E33" s="11" t="s">
        <v>40</v>
      </c>
      <c r="F33" s="11"/>
      <c r="G33" s="11"/>
    </row>
    <row r="34" customFormat="false" ht="30" hidden="false" customHeight="true" outlineLevel="0" collapsed="false">
      <c r="B34" s="14" t="s">
        <v>5</v>
      </c>
      <c r="C34" s="15" t="n">
        <v>46275</v>
      </c>
      <c r="D34" s="14" t="s">
        <v>41</v>
      </c>
      <c r="E34" s="13" t="s">
        <v>42</v>
      </c>
      <c r="F34" s="13"/>
      <c r="G34" s="13"/>
    </row>
  </sheetData>
  <mergeCells count="22">
    <mergeCell ref="C5:G5"/>
    <mergeCell ref="C6:G6"/>
    <mergeCell ref="C7:G7"/>
    <mergeCell ref="C8:G8"/>
    <mergeCell ref="C9:G9"/>
    <mergeCell ref="C10:G10"/>
    <mergeCell ref="C11:G11"/>
    <mergeCell ref="B14:G14"/>
    <mergeCell ref="C17:G17"/>
    <mergeCell ref="C18:G18"/>
    <mergeCell ref="C19:G19"/>
    <mergeCell ref="C20:G20"/>
    <mergeCell ref="C21:G21"/>
    <mergeCell ref="C22:G22"/>
    <mergeCell ref="C23:G23"/>
    <mergeCell ref="B26:G26"/>
    <mergeCell ref="B27:G27"/>
    <mergeCell ref="B28:G28"/>
    <mergeCell ref="B29:G29"/>
    <mergeCell ref="B30:G30"/>
    <mergeCell ref="E33:G33"/>
    <mergeCell ref="E34:G3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10" min="3" style="0" width="11"/>
  </cols>
  <sheetData>
    <row r="1" customFormat="false" ht="22.05" hidden="false" customHeight="false" outlineLevel="0" collapsed="false">
      <c r="B1" s="16" t="s">
        <v>43</v>
      </c>
    </row>
    <row r="2" customFormat="false" ht="15" hidden="false" customHeight="false" outlineLevel="0" collapsed="false">
      <c r="B2" s="17" t="s">
        <v>44</v>
      </c>
    </row>
    <row r="3" customFormat="false" ht="15" hidden="false" customHeight="false" outlineLevel="0" collapsed="false">
      <c r="B3" s="18" t="str">
        <f aca="false">"Reporting date: "&amp;TEXT(Cover!$C$7,"DD-MMM-YYYY")&amp;"   ·   Go-live: "&amp;TEXT(Cover!$C$8,"DD-MMM-YYYY")</f>
        <v>Reporting date: 10-Sep-2026   ·   Go-live: 11-Dec-2026</v>
      </c>
    </row>
    <row r="5" customFormat="false" ht="19.5" hidden="false" customHeight="true" outlineLevel="0" collapsed="false">
      <c r="B5" s="8" t="s">
        <v>45</v>
      </c>
      <c r="C5" s="9"/>
      <c r="D5" s="9"/>
      <c r="E5" s="9"/>
      <c r="F5" s="9"/>
      <c r="G5" s="9"/>
      <c r="H5" s="9"/>
      <c r="I5" s="9"/>
      <c r="J5" s="9"/>
    </row>
    <row r="6" customFormat="false" ht="31.5" hidden="false" customHeight="true" outlineLevel="0" collapsed="false">
      <c r="B6" s="11" t="s">
        <v>46</v>
      </c>
      <c r="C6" s="11" t="s">
        <v>47</v>
      </c>
      <c r="D6" s="11"/>
      <c r="E6" s="11" t="s">
        <v>48</v>
      </c>
      <c r="F6" s="11" t="s">
        <v>49</v>
      </c>
      <c r="G6" s="11" t="s">
        <v>50</v>
      </c>
      <c r="H6" s="11" t="s">
        <v>51</v>
      </c>
      <c r="I6" s="11" t="s">
        <v>52</v>
      </c>
      <c r="J6" s="11" t="s">
        <v>53</v>
      </c>
    </row>
    <row r="7" customFormat="false" ht="30" hidden="false" customHeight="true" outlineLevel="0" collapsed="false">
      <c r="B7" s="19" t="n">
        <f aca="false">MAX(0,Cover!$C$8-Cover!$C$7)</f>
        <v>92</v>
      </c>
      <c r="C7" s="20" t="str">
        <f aca="false">Hypercare!C26</f>
        <v>0 of 12</v>
      </c>
      <c r="D7" s="20"/>
      <c r="E7" s="19" t="n">
        <f aca="false">COUNTA('KPI Triggers'!A13:A24)</f>
        <v>12</v>
      </c>
      <c r="F7" s="19" t="n">
        <f aca="false">COUNTIFS('Iteration Roadmap'!$G$5:$G$54,"Now")</f>
        <v>2</v>
      </c>
      <c r="G7" s="19" t="n">
        <f aca="false">COUNTIFS('Iteration Roadmap'!$G$5:$G$54,"Next")</f>
        <v>7</v>
      </c>
      <c r="H7" s="19" t="n">
        <f aca="false">COUNTIFS('Iteration Roadmap'!$G$5:$G$54,"Later")</f>
        <v>3</v>
      </c>
      <c r="I7" s="19" t="str">
        <f aca="false">COUNTIFS('BAU Transition'!$G$5:$G$34,"Accepted")&amp;" of "&amp;COUNTA('BAU Transition'!$A$5:$A$34)</f>
        <v>0 of 12</v>
      </c>
      <c r="J7" s="19" t="n">
        <f aca="false">COUNTA('Reviews &amp; Lessons'!A34:A74)</f>
        <v>6</v>
      </c>
    </row>
    <row r="9" customFormat="false" ht="19.5" hidden="false" customHeight="true" outlineLevel="0" collapsed="false">
      <c r="B9" s="8" t="s">
        <v>54</v>
      </c>
      <c r="C9" s="9"/>
      <c r="D9" s="9"/>
      <c r="E9" s="9"/>
      <c r="F9" s="9"/>
      <c r="G9" s="9"/>
      <c r="H9" s="9"/>
      <c r="I9" s="9"/>
      <c r="J9" s="9"/>
    </row>
    <row r="10" customFormat="false" ht="31.5" hidden="false" customHeight="true" outlineLevel="0" collapsed="false">
      <c r="B10" s="11" t="s">
        <v>55</v>
      </c>
      <c r="C10" s="11" t="s">
        <v>56</v>
      </c>
      <c r="D10" s="11" t="s">
        <v>57</v>
      </c>
      <c r="E10" s="11" t="s">
        <v>58</v>
      </c>
      <c r="F10" s="11" t="s">
        <v>59</v>
      </c>
      <c r="G10" s="11"/>
      <c r="H10" s="11" t="s">
        <v>60</v>
      </c>
      <c r="I10" s="11"/>
      <c r="J10" s="11"/>
    </row>
    <row r="11" customFormat="false" ht="30" hidden="false" customHeight="true" outlineLevel="0" collapsed="false">
      <c r="B11" s="21" t="str">
        <f aca="false">Hypercare!B7</f>
        <v>Intensive hypercare</v>
      </c>
      <c r="C11" s="22" t="n">
        <f aca="false">Hypercare!C7</f>
        <v>46367</v>
      </c>
      <c r="D11" s="22" t="n">
        <f aca="false">Hypercare!D7</f>
        <v>46374</v>
      </c>
      <c r="E11" s="23" t="n">
        <f aca="false">Hypercare!E7</f>
        <v>8</v>
      </c>
      <c r="F11" s="24" t="str">
        <f aca="false">Hypercare!I7</f>
        <v>Tech Lead</v>
      </c>
      <c r="G11" s="24"/>
      <c r="H11" s="24" t="str">
        <f aca="false">Hypercare!H7</f>
        <v>Business hours plus on-call; squads on standby</v>
      </c>
      <c r="I11" s="24"/>
      <c r="J11" s="24"/>
    </row>
    <row r="12" customFormat="false" ht="30" hidden="false" customHeight="true" outlineLevel="0" collapsed="false">
      <c r="B12" s="21" t="str">
        <f aca="false">Hypercare!B8</f>
        <v>Stabilization during change freeze</v>
      </c>
      <c r="C12" s="22" t="n">
        <f aca="false">Hypercare!C8</f>
        <v>46377</v>
      </c>
      <c r="D12" s="22" t="n">
        <f aca="false">Hypercare!D8</f>
        <v>46395</v>
      </c>
      <c r="E12" s="23" t="n">
        <f aca="false">Hypercare!E8</f>
        <v>19</v>
      </c>
      <c r="F12" s="24" t="str">
        <f aca="false">Hypercare!I8</f>
        <v>Project Manager</v>
      </c>
      <c r="G12" s="24"/>
      <c r="H12" s="24" t="str">
        <f aca="false">Hypercare!H8</f>
        <v>Reduced rota plus on-call; named holiday cover for every role</v>
      </c>
      <c r="I12" s="24"/>
      <c r="J12" s="24"/>
    </row>
    <row r="13" customFormat="false" ht="30" hidden="false" customHeight="true" outlineLevel="0" collapsed="false">
      <c r="B13" s="21" t="str">
        <f aca="false">Hypercare!B9</f>
        <v>Pilot hypercare and exit readiness</v>
      </c>
      <c r="C13" s="22" t="n">
        <f aca="false">Hypercare!C9</f>
        <v>46398</v>
      </c>
      <c r="D13" s="22" t="n">
        <f aca="false">Hypercare!D9</f>
        <v>46409</v>
      </c>
      <c r="E13" s="23" t="n">
        <f aca="false">Hypercare!E9</f>
        <v>12</v>
      </c>
      <c r="F13" s="24" t="str">
        <f aca="false">Hypercare!I9</f>
        <v>Product Owner</v>
      </c>
      <c r="G13" s="24"/>
      <c r="H13" s="24" t="str">
        <f aca="false">Hypercare!H9</f>
        <v>Business hours plus on-call; handover shadowing with run team</v>
      </c>
      <c r="I13" s="24"/>
      <c r="J13" s="24"/>
    </row>
    <row r="14" customFormat="false" ht="15" hidden="false" customHeight="false" outlineLevel="0" collapsed="false">
      <c r="B14" s="25" t="s">
        <v>61</v>
      </c>
      <c r="C14" s="26" t="str">
        <f aca="false">Hypercare!C27</f>
        <v>Awaiting evidence</v>
      </c>
      <c r="D14" s="26"/>
      <c r="E14" s="26"/>
    </row>
    <row r="16" customFormat="false" ht="19.5" hidden="false" customHeight="true" outlineLevel="0" collapsed="false">
      <c r="B16" s="8" t="s">
        <v>62</v>
      </c>
      <c r="C16" s="9"/>
      <c r="D16" s="9"/>
      <c r="E16" s="9"/>
      <c r="F16" s="9"/>
      <c r="G16" s="9"/>
      <c r="H16" s="9"/>
      <c r="I16" s="9"/>
      <c r="J16" s="9"/>
    </row>
    <row r="17" customFormat="false" ht="24" hidden="false" customHeight="true" outlineLevel="0" collapsed="false">
      <c r="B17" s="11" t="s">
        <v>63</v>
      </c>
      <c r="C17" s="11" t="s">
        <v>64</v>
      </c>
      <c r="D17" s="11" t="s">
        <v>65</v>
      </c>
      <c r="E17" s="11" t="s">
        <v>66</v>
      </c>
      <c r="F17" s="11" t="s">
        <v>67</v>
      </c>
      <c r="G17" s="11" t="s">
        <v>68</v>
      </c>
      <c r="H17" s="11" t="s">
        <v>69</v>
      </c>
      <c r="I17" s="11" t="s">
        <v>70</v>
      </c>
      <c r="J17" s="11" t="s">
        <v>71</v>
      </c>
    </row>
    <row r="18" customFormat="false" ht="30" hidden="false" customHeight="true" outlineLevel="0" collapsed="false">
      <c r="B18" s="21" t="str">
        <f aca="false">'Benefits Tracker'!A7&amp;" ("&amp;'Benefits Tracker'!B7&amp;")"</f>
        <v>Portal evidence share (KPI-06)</v>
      </c>
      <c r="C18" s="27" t="n">
        <f aca="false">'Benefits Tracker'!F7</f>
        <v>0.1</v>
      </c>
      <c r="D18" s="27" t="n">
        <f aca="false">'Benefits Tracker'!G7</f>
        <v>0.3</v>
      </c>
      <c r="E18" s="27" t="n">
        <f aca="false">'Benefits Tracker'!H7</f>
        <v>0.45</v>
      </c>
      <c r="F18" s="27" t="n">
        <f aca="false">'Benefits Tracker'!I7</f>
        <v>0.55</v>
      </c>
      <c r="G18" s="27" t="n">
        <f aca="false">'Benefits Tracker'!J7</f>
        <v>0.57</v>
      </c>
      <c r="H18" s="27" t="n">
        <f aca="false">'Benefits Tracker'!K7</f>
        <v>0.6</v>
      </c>
      <c r="I18" s="27" t="n">
        <f aca="false">'Benefits Tracker'!L7</f>
        <v>0.61</v>
      </c>
      <c r="J18" s="27" t="n">
        <f aca="false">'Benefits Tracker'!M7</f>
        <v>0.62</v>
      </c>
    </row>
    <row r="19" customFormat="false" ht="30" hidden="false" customHeight="true" outlineLevel="0" collapsed="false">
      <c r="B19" s="21" t="str">
        <f aca="false">'Benefits Tracker'!A8&amp;" ("&amp;'Benefits Tracker'!B8&amp;")"</f>
        <v>Ops handling time per dispute (KPI-05)</v>
      </c>
      <c r="C19" s="28" t="n">
        <f aca="false">'Benefits Tracker'!F8</f>
        <v>40</v>
      </c>
      <c r="D19" s="28" t="n">
        <f aca="false">'Benefits Tracker'!G8</f>
        <v>36</v>
      </c>
      <c r="E19" s="28" t="n">
        <f aca="false">'Benefits Tracker'!H8</f>
        <v>32</v>
      </c>
      <c r="F19" s="28" t="n">
        <f aca="false">'Benefits Tracker'!I8</f>
        <v>29</v>
      </c>
      <c r="G19" s="28" t="n">
        <f aca="false">'Benefits Tracker'!J8</f>
        <v>28</v>
      </c>
      <c r="H19" s="28" t="n">
        <f aca="false">'Benefits Tracker'!K8</f>
        <v>27</v>
      </c>
      <c r="I19" s="28" t="n">
        <f aca="false">'Benefits Tracker'!L8</f>
        <v>26</v>
      </c>
      <c r="J19" s="28" t="n">
        <f aca="false">'Benefits Tracker'!M8</f>
        <v>25</v>
      </c>
    </row>
    <row r="20" customFormat="false" ht="30" hidden="false" customHeight="true" outlineLevel="0" collapsed="false">
      <c r="B20" s="21" t="str">
        <f aca="false">'Benefits Tracker'!A9&amp;" ("&amp;'Benefits Tracker'!B9&amp;")"</f>
        <v>On-time response rate (KPI-03)</v>
      </c>
      <c r="C20" s="27" t="n">
        <f aca="false">'Benefits Tracker'!F9</f>
        <v>0.82</v>
      </c>
      <c r="D20" s="27" t="n">
        <f aca="false">'Benefits Tracker'!G9</f>
        <v>0.86</v>
      </c>
      <c r="E20" s="27" t="n">
        <f aca="false">'Benefits Tracker'!H9</f>
        <v>0.89</v>
      </c>
      <c r="F20" s="27" t="n">
        <f aca="false">'Benefits Tracker'!I9</f>
        <v>0.91</v>
      </c>
      <c r="G20" s="27" t="n">
        <f aca="false">'Benefits Tracker'!J9</f>
        <v>0.92</v>
      </c>
      <c r="H20" s="27" t="n">
        <f aca="false">'Benefits Tracker'!K9</f>
        <v>0.93</v>
      </c>
      <c r="I20" s="27" t="n">
        <f aca="false">'Benefits Tracker'!L9</f>
        <v>0.94</v>
      </c>
      <c r="J20" s="27" t="n">
        <f aca="false">'Benefits Tracker'!M9</f>
        <v>0.95</v>
      </c>
    </row>
    <row r="21" customFormat="false" ht="30" hidden="false" customHeight="true" outlineLevel="0" collapsed="false">
      <c r="B21" s="21" t="str">
        <f aca="false">'Benefits Tracker'!A10&amp;" ("&amp;'Benefits Tracker'!B10&amp;")"</f>
        <v>Missed-deadline loss rate (KPI-04)</v>
      </c>
      <c r="C21" s="27" t="n">
        <f aca="false">'Benefits Tracker'!F10</f>
        <v>0.085</v>
      </c>
      <c r="D21" s="27" t="n">
        <f aca="false">'Benefits Tracker'!G10</f>
        <v>0.07</v>
      </c>
      <c r="E21" s="27" t="n">
        <f aca="false">'Benefits Tracker'!H10</f>
        <v>0.06</v>
      </c>
      <c r="F21" s="27" t="n">
        <f aca="false">'Benefits Tracker'!I10</f>
        <v>0.05</v>
      </c>
      <c r="G21" s="27" t="n">
        <f aca="false">'Benefits Tracker'!J10</f>
        <v>0.045</v>
      </c>
      <c r="H21" s="27" t="n">
        <f aca="false">'Benefits Tracker'!K10</f>
        <v>0.04</v>
      </c>
      <c r="I21" s="27" t="n">
        <f aca="false">'Benefits Tracker'!L10</f>
        <v>0.035</v>
      </c>
      <c r="J21" s="27" t="n">
        <f aca="false">'Benefits Tracker'!M10</f>
        <v>0.03</v>
      </c>
    </row>
    <row r="22" customFormat="false" ht="30" hidden="false" customHeight="true" outlineLevel="0" collapsed="false">
      <c r="B22" s="21" t="str">
        <f aca="false">'Benefits Tracker'!A11&amp;" ("&amp;'Benefits Tracker'!B11&amp;")"</f>
        <v>Settlement contacts per 100 merchants (KPI-07)</v>
      </c>
      <c r="C22" s="29" t="n">
        <f aca="false">'Benefits Tracker'!F11</f>
        <v>14</v>
      </c>
      <c r="D22" s="29" t="n">
        <f aca="false">'Benefits Tracker'!G11</f>
        <v>12.5</v>
      </c>
      <c r="E22" s="29" t="n">
        <f aca="false">'Benefits Tracker'!H11</f>
        <v>11</v>
      </c>
      <c r="F22" s="29" t="n">
        <f aca="false">'Benefits Tracker'!I11</f>
        <v>10</v>
      </c>
      <c r="G22" s="29" t="n">
        <f aca="false">'Benefits Tracker'!J11</f>
        <v>9.5</v>
      </c>
      <c r="H22" s="29" t="n">
        <f aca="false">'Benefits Tracker'!K11</f>
        <v>9</v>
      </c>
      <c r="I22" s="29" t="n">
        <f aca="false">'Benefits Tracker'!L11</f>
        <v>8.5</v>
      </c>
      <c r="J22" s="29" t="n">
        <f aca="false">'Benefits Tracker'!M11</f>
        <v>8</v>
      </c>
    </row>
    <row r="23" customFormat="false" ht="30" hidden="false" customHeight="true" outlineLevel="0" collapsed="false">
      <c r="B23" s="21" t="str">
        <f aca="false">'Benefits Tracker'!A12&amp;" ("&amp;'Benefits Tracker'!B12&amp;")"</f>
        <v>Dispute value recovery rate (KPI-01)</v>
      </c>
      <c r="C23" s="27" t="n">
        <f aca="false">'Benefits Tracker'!F12</f>
        <v>0.38</v>
      </c>
      <c r="D23" s="27" t="n">
        <f aca="false">'Benefits Tracker'!G12</f>
        <v>0.395</v>
      </c>
      <c r="E23" s="27" t="n">
        <f aca="false">'Benefits Tracker'!H12</f>
        <v>0.41</v>
      </c>
      <c r="F23" s="27" t="n">
        <f aca="false">'Benefits Tracker'!I12</f>
        <v>0.42</v>
      </c>
      <c r="G23" s="27" t="n">
        <f aca="false">'Benefits Tracker'!J12</f>
        <v>0.43</v>
      </c>
      <c r="H23" s="27" t="n">
        <f aca="false">'Benefits Tracker'!K12</f>
        <v>0.44</v>
      </c>
      <c r="I23" s="27" t="n">
        <f aca="false">'Benefits Tracker'!L12</f>
        <v>0.445</v>
      </c>
      <c r="J23" s="27" t="n">
        <f aca="false">'Benefits Tracker'!M12</f>
        <v>0.45</v>
      </c>
    </row>
    <row r="40" customFormat="false" ht="19.5" hidden="false" customHeight="true" outlineLevel="0" collapsed="false">
      <c r="B40" s="8" t="s">
        <v>72</v>
      </c>
      <c r="C40" s="9"/>
      <c r="D40" s="9"/>
      <c r="E40" s="9"/>
      <c r="F40" s="9"/>
      <c r="G40" s="9"/>
      <c r="H40" s="9"/>
      <c r="I40" s="9"/>
      <c r="J40" s="9"/>
    </row>
    <row r="41" customFormat="false" ht="15" hidden="false" customHeight="false" outlineLevel="0" collapsed="false">
      <c r="B41" s="30" t="str">
        <f aca="false">"Now ("&amp;COUNTIFS('Iteration Roadmap'!$G$5:$G$54,"Now")&amp;")"</f>
        <v>Now (2)</v>
      </c>
      <c r="C41" s="30"/>
      <c r="D41" s="30"/>
      <c r="E41" s="31" t="str">
        <f aca="false">"Next ("&amp;COUNTIFS('Iteration Roadmap'!$G$5:$G$54,"Next")&amp;")"</f>
        <v>Next (7)</v>
      </c>
      <c r="F41" s="31"/>
      <c r="G41" s="31"/>
      <c r="H41" s="32" t="str">
        <f aca="false">"Later ("&amp;COUNTIFS('Iteration Roadmap'!$G$5:$G$54,"Later")&amp;")"</f>
        <v>Later (3)</v>
      </c>
      <c r="I41" s="32"/>
      <c r="J41" s="32"/>
    </row>
    <row r="42" customFormat="false" ht="30" hidden="false" customHeight="true" outlineLevel="0" collapsed="false">
      <c r="B42" s="33" t="str">
        <f aca="false">IFERROR(INDEX('Iteration Roadmap'!$B$5:$B$54,MATCH(SMALL('Iteration Roadmap'!$Q$5:$Q$54,1),'Iteration Roadmap'!$Q$5:$Q$54,0))&amp;"  ·  "&amp;INDEX('Iteration Roadmap'!$H$5:$H$54,MATCH(SMALL('Iteration Roadmap'!$Q$5:$Q$54,1),'Iteration Roadmap'!$Q$5:$Q$54,0)),"")</f>
        <v>Pilot feedback fixes  ·  2027 Q1</v>
      </c>
      <c r="C42" s="33"/>
      <c r="D42" s="33"/>
      <c r="E42" s="33" t="str">
        <f aca="false">IFERROR(INDEX('Iteration Roadmap'!$B$5:$B$54,MATCH(SMALL('Iteration Roadmap'!$R$5:$R$54,1),'Iteration Roadmap'!$R$5:$R$54,0))&amp;"  ·  "&amp;INDEX('Iteration Roadmap'!$H$5:$H$54,MATCH(SMALL('Iteration Roadmap'!$R$5:$R$54,1),'Iteration Roadmap'!$R$5:$R$54,0)),"")</f>
        <v>Recurring billing and travel evidence guidance  ·  2027 Q2</v>
      </c>
      <c r="F42" s="33"/>
      <c r="G42" s="33"/>
      <c r="H42" s="33" t="str">
        <f aca="false">IFERROR(INDEX('Iteration Roadmap'!$B$5:$B$54,MATCH(SMALL('Iteration Roadmap'!$S$5:$S$54,1),'Iteration Roadmap'!$S$5:$S$54,0))&amp;"  ·  "&amp;INDEX('Iteration Roadmap'!$H$5:$H$54,MATCH(SMALL('Iteration Roadmap'!$S$5:$S$54,1),'Iteration Roadmap'!$S$5:$S$54,0)),"")</f>
        <v>Auto-accept rules for low-value disputes  ·  2027 Q4</v>
      </c>
      <c r="I42" s="33"/>
      <c r="J42" s="33"/>
    </row>
    <row r="43" customFormat="false" ht="30" hidden="false" customHeight="true" outlineLevel="0" collapsed="false">
      <c r="B43" s="33" t="str">
        <f aca="false">IFERROR(INDEX('Iteration Roadmap'!$B$5:$B$54,MATCH(SMALL('Iteration Roadmap'!$Q$5:$Q$54,2),'Iteration Roadmap'!$Q$5:$Q$54,0))&amp;"  ·  "&amp;INDEX('Iteration Roadmap'!$H$5:$H$54,MATCH(SMALL('Iteration Roadmap'!$Q$5:$Q$54,2),'Iteration Roadmap'!$Q$5:$Q$54,0)),"")</f>
        <v>Merchant satisfaction survey  ·  2027 Q1</v>
      </c>
      <c r="C43" s="33"/>
      <c r="D43" s="33"/>
      <c r="E43" s="33" t="str">
        <f aca="false">IFERROR(INDEX('Iteration Roadmap'!$B$5:$B$54,MATCH(SMALL('Iteration Roadmap'!$R$5:$R$54,2),'Iteration Roadmap'!$R$5:$R$54,0))&amp;"  ·  "&amp;INDEX('Iteration Roadmap'!$H$5:$H$54,MATCH(SMALL('Iteration Roadmap'!$R$5:$R$54,2),'Iteration Roadmap'!$R$5:$R$54,0)),"")</f>
        <v>Evidence templates by reason code  ·  2027 Q2</v>
      </c>
      <c r="F43" s="33"/>
      <c r="G43" s="33"/>
      <c r="H43" s="33" t="str">
        <f aca="false">IFERROR(INDEX('Iteration Roadmap'!$B$5:$B$54,MATCH(SMALL('Iteration Roadmap'!$S$5:$S$54,2),'Iteration Roadmap'!$S$5:$S$54,0))&amp;"  ·  "&amp;INDEX('Iteration Roadmap'!$H$5:$H$54,MATCH(SMALL('Iteration Roadmap'!$S$5:$S$54,2),'Iteration Roadmap'!$S$5:$S$54,0)),"")</f>
        <v>Evidence quality checks before submission  ·  2028 Q2</v>
      </c>
      <c r="I43" s="33"/>
      <c r="J43" s="33"/>
    </row>
    <row r="44" customFormat="false" ht="30" hidden="false" customHeight="true" outlineLevel="0" collapsed="false">
      <c r="B44" s="33" t="str">
        <f aca="false">IFERROR(INDEX('Iteration Roadmap'!$B$5:$B$54,MATCH(SMALL('Iteration Roadmap'!$Q$5:$Q$54,3),'Iteration Roadmap'!$Q$5:$Q$54,0))&amp;"  ·  "&amp;INDEX('Iteration Roadmap'!$H$5:$H$54,MATCH(SMALL('Iteration Roadmap'!$Q$5:$Q$54,3),'Iteration Roadmap'!$Q$5:$Q$54,0)),"")</f>
        <v/>
      </c>
      <c r="C44" s="33"/>
      <c r="D44" s="33"/>
      <c r="E44" s="33" t="str">
        <f aca="false">IFERROR(INDEX('Iteration Roadmap'!$B$5:$B$54,MATCH(SMALL('Iteration Roadmap'!$R$5:$R$54,3),'Iteration Roadmap'!$R$5:$R$54,0))&amp;"  ·  "&amp;INDEX('Iteration Roadmap'!$H$5:$H$54,MATCH(SMALL('Iteration Roadmap'!$R$5:$R$54,3),'Iteration Roadmap'!$R$5:$R$54,0)),"")</f>
        <v>Retire email dispute intake  ·  2027 Q4</v>
      </c>
      <c r="F44" s="33"/>
      <c r="G44" s="33"/>
      <c r="H44" s="33" t="str">
        <f aca="false">IFERROR(INDEX('Iteration Roadmap'!$B$5:$B$54,MATCH(SMALL('Iteration Roadmap'!$S$5:$S$54,3),'Iteration Roadmap'!$S$5:$S$54,0))&amp;"  ·  "&amp;INDEX('Iteration Roadmap'!$H$5:$H$54,MATCH(SMALL('Iteration Roadmap'!$S$5:$S$54,3),'Iteration Roadmap'!$S$5:$S$54,0)),"")</f>
        <v>Marketplace sub-merchant model  ·  2028 Q1</v>
      </c>
      <c r="I44" s="33"/>
      <c r="J44" s="33"/>
    </row>
    <row r="45" customFormat="false" ht="30" hidden="false" customHeight="true" outlineLevel="0" collapsed="false">
      <c r="B45" s="33" t="str">
        <f aca="false">IFERROR(INDEX('Iteration Roadmap'!$B$5:$B$54,MATCH(SMALL('Iteration Roadmap'!$Q$5:$Q$54,4),'Iteration Roadmap'!$Q$5:$Q$54,0))&amp;"  ·  "&amp;INDEX('Iteration Roadmap'!$H$5:$H$54,MATCH(SMALL('Iteration Roadmap'!$Q$5:$Q$54,4),'Iteration Roadmap'!$Q$5:$Q$54,0)),"")</f>
        <v/>
      </c>
      <c r="C45" s="33"/>
      <c r="D45" s="33"/>
      <c r="E45" s="33" t="str">
        <f aca="false">IFERROR(INDEX('Iteration Roadmap'!$B$5:$B$54,MATCH(SMALL('Iteration Roadmap'!$R$5:$R$54,4),'Iteration Roadmap'!$R$5:$R$54,0))&amp;"  ·  "&amp;INDEX('Iteration Roadmap'!$H$5:$H$54,MATCH(SMALL('Iteration Roadmap'!$R$5:$R$54,4),'Iteration Roadmap'!$R$5:$R$54,0)),"")</f>
        <v>Reason code admin screen  ·  2027 Q2</v>
      </c>
      <c r="F45" s="33"/>
      <c r="G45" s="33"/>
      <c r="H45" s="33" t="str">
        <f aca="false">IFERROR(INDEX('Iteration Roadmap'!$B$5:$B$54,MATCH(SMALL('Iteration Roadmap'!$S$5:$S$54,4),'Iteration Roadmap'!$S$5:$S$54,0))&amp;"  ·  "&amp;INDEX('Iteration Roadmap'!$H$5:$H$54,MATCH(SMALL('Iteration Roadmap'!$S$5:$S$54,4),'Iteration Roadmap'!$S$5:$S$54,0)),"")</f>
        <v/>
      </c>
      <c r="I45" s="33"/>
      <c r="J45" s="33"/>
    </row>
    <row r="46" customFormat="false" ht="30" hidden="false" customHeight="true" outlineLevel="0" collapsed="false">
      <c r="B46" s="33" t="str">
        <f aca="false">IFERROR(INDEX('Iteration Roadmap'!$B$5:$B$54,MATCH(SMALL('Iteration Roadmap'!$Q$5:$Q$54,5),'Iteration Roadmap'!$Q$5:$Q$54,0))&amp;"  ·  "&amp;INDEX('Iteration Roadmap'!$H$5:$H$54,MATCH(SMALL('Iteration Roadmap'!$Q$5:$Q$54,5),'Iteration Roadmap'!$Q$5:$Q$54,0)),"")</f>
        <v/>
      </c>
      <c r="C46" s="33"/>
      <c r="D46" s="33"/>
      <c r="E46" s="33" t="str">
        <f aca="false">IFERROR(INDEX('Iteration Roadmap'!$B$5:$B$54,MATCH(SMALL('Iteration Roadmap'!$R$5:$R$54,5),'Iteration Roadmap'!$R$5:$R$54,0))&amp;"  ·  "&amp;INDEX('Iteration Roadmap'!$H$5:$H$54,MATCH(SMALL('Iteration Roadmap'!$R$5:$R$54,5),'Iteration Roadmap'!$R$5:$R$54,0)),"")</f>
        <v>SMS deadline reminders  ·  2027 Q2</v>
      </c>
      <c r="F46" s="33"/>
      <c r="G46" s="33"/>
      <c r="H46" s="33" t="str">
        <f aca="false">IFERROR(INDEX('Iteration Roadmap'!$B$5:$B$54,MATCH(SMALL('Iteration Roadmap'!$S$5:$S$54,5),'Iteration Roadmap'!$S$5:$S$54,0))&amp;"  ·  "&amp;INDEX('Iteration Roadmap'!$H$5:$H$54,MATCH(SMALL('Iteration Roadmap'!$S$5:$S$54,5),'Iteration Roadmap'!$S$5:$S$54,0)),"")</f>
        <v/>
      </c>
      <c r="I46" s="33"/>
      <c r="J46" s="33"/>
    </row>
    <row r="47" customFormat="false" ht="30" hidden="false" customHeight="true" outlineLevel="0" collapsed="false">
      <c r="B47" s="33" t="str">
        <f aca="false">IFERROR(INDEX('Iteration Roadmap'!$B$5:$B$54,MATCH(SMALL('Iteration Roadmap'!$Q$5:$Q$54,6),'Iteration Roadmap'!$Q$5:$Q$54,0))&amp;"  ·  "&amp;INDEX('Iteration Roadmap'!$H$5:$H$54,MATCH(SMALL('Iteration Roadmap'!$Q$5:$Q$54,6),'Iteration Roadmap'!$Q$5:$Q$54,0)),"")</f>
        <v/>
      </c>
      <c r="C47" s="33"/>
      <c r="D47" s="33"/>
      <c r="E47" s="33" t="str">
        <f aca="false">IFERROR(INDEX('Iteration Roadmap'!$B$5:$B$54,MATCH(SMALL('Iteration Roadmap'!$R$5:$R$54,6),'Iteration Roadmap'!$R$5:$R$54,0))&amp;"  ·  "&amp;INDEX('Iteration Roadmap'!$H$5:$H$54,MATCH(SMALL('Iteration Roadmap'!$R$5:$R$54,6),'Iteration Roadmap'!$R$5:$R$54,0)),"")</f>
        <v>Spanish language portal  ·  2027 Q3</v>
      </c>
      <c r="F47" s="33"/>
      <c r="G47" s="33"/>
      <c r="H47" s="33" t="str">
        <f aca="false">IFERROR(INDEX('Iteration Roadmap'!$B$5:$B$54,MATCH(SMALL('Iteration Roadmap'!$S$5:$S$54,6),'Iteration Roadmap'!$S$5:$S$54,0))&amp;"  ·  "&amp;INDEX('Iteration Roadmap'!$H$5:$H$54,MATCH(SMALL('Iteration Roadmap'!$S$5:$S$54,6),'Iteration Roadmap'!$S$5:$S$54,0)),"")</f>
        <v/>
      </c>
      <c r="I47" s="33"/>
      <c r="J47" s="33"/>
    </row>
    <row r="48" customFormat="false" ht="30" hidden="false" customHeight="true" outlineLevel="0" collapsed="false">
      <c r="B48" s="33" t="str">
        <f aca="false">IFERROR(INDEX('Iteration Roadmap'!$B$5:$B$54,MATCH(SMALL('Iteration Roadmap'!$Q$5:$Q$54,7),'Iteration Roadmap'!$Q$5:$Q$54,0))&amp;"  ·  "&amp;INDEX('Iteration Roadmap'!$H$5:$H$54,MATCH(SMALL('Iteration Roadmap'!$Q$5:$Q$54,7),'Iteration Roadmap'!$Q$5:$Q$54,0)),"")</f>
        <v/>
      </c>
      <c r="C48" s="33"/>
      <c r="D48" s="33"/>
      <c r="E48" s="33" t="str">
        <f aca="false">IFERROR(INDEX('Iteration Roadmap'!$B$5:$B$54,MATCH(SMALL('Iteration Roadmap'!$R$5:$R$54,7),'Iteration Roadmap'!$R$5:$R$54,0))&amp;"  ·  "&amp;INDEX('Iteration Roadmap'!$H$5:$H$54,MATCH(SMALL('Iteration Roadmap'!$R$5:$R$54,7),'Iteration Roadmap'!$R$5:$R$54,0)),"")</f>
        <v>Fraud case management in the hub  ·  2027 Q3</v>
      </c>
      <c r="F48" s="33"/>
      <c r="G48" s="33"/>
      <c r="H48" s="33" t="str">
        <f aca="false">IFERROR(INDEX('Iteration Roadmap'!$B$5:$B$54,MATCH(SMALL('Iteration Roadmap'!$S$5:$S$54,7),'Iteration Roadmap'!$S$5:$S$54,0))&amp;"  ·  "&amp;INDEX('Iteration Roadmap'!$H$5:$H$54,MATCH(SMALL('Iteration Roadmap'!$S$5:$S$54,7),'Iteration Roadmap'!$S$5:$S$54,0)),"")</f>
        <v/>
      </c>
      <c r="I48" s="33"/>
      <c r="J48" s="33"/>
    </row>
    <row r="50" customFormat="false" ht="19.5" hidden="false" customHeight="true" outlineLevel="0" collapsed="false">
      <c r="B50" s="8" t="s">
        <v>73</v>
      </c>
      <c r="C50" s="9"/>
      <c r="D50" s="9"/>
      <c r="E50" s="9"/>
      <c r="F50" s="9"/>
      <c r="G50" s="9"/>
      <c r="H50" s="9"/>
      <c r="I50" s="9"/>
      <c r="J50" s="9"/>
    </row>
    <row r="51" customFormat="false" ht="31.5" hidden="false" customHeight="true" outlineLevel="0" collapsed="false">
      <c r="B51" s="11" t="s">
        <v>74</v>
      </c>
      <c r="C51" s="11" t="s">
        <v>38</v>
      </c>
      <c r="D51" s="11"/>
      <c r="E51" s="11" t="s">
        <v>75</v>
      </c>
      <c r="F51" s="11"/>
      <c r="G51" s="11" t="s">
        <v>76</v>
      </c>
      <c r="H51" s="11"/>
      <c r="I51" s="11"/>
      <c r="J51" s="11" t="s">
        <v>77</v>
      </c>
    </row>
    <row r="52" customFormat="false" ht="30" hidden="false" customHeight="true" outlineLevel="0" collapsed="false">
      <c r="B52" s="12" t="str">
        <f aca="false">IFERROR(INDEX('Reviews &amp; Lessons'!$B$6:$B$30,MATCH(SMALL('Reviews &amp; Lessons'!$J$6:$J$30,1),'Reviews &amp; Lessons'!$J$6:$J$30,0)),"")</f>
        <v>Go-live go / no-go</v>
      </c>
      <c r="C52" s="15" t="n">
        <f aca="false">IFERROR(INDEX('Reviews &amp; Lessons'!$C$6:$C$30,MATCH(SMALL('Reviews &amp; Lessons'!$J$6:$J$30,1),'Reviews &amp; Lessons'!$J$6:$J$30,0)),"")</f>
        <v>46360</v>
      </c>
      <c r="D52" s="15"/>
      <c r="E52" s="13" t="str">
        <f aca="false">IFERROR(INDEX('Reviews &amp; Lessons'!$G$6:$G$30,MATCH(SMALL('Reviews &amp; Lessons'!$J$6:$J$30,1),'Reviews &amp; Lessons'!$J$6:$J$30,0)),"")</f>
        <v>Steering Committee</v>
      </c>
      <c r="F52" s="13"/>
      <c r="G52" s="13" t="str">
        <f aca="false">IFERROR(INDEX('Reviews &amp; Lessons'!$F$6:$F$30,MATCH(SMALL('Reviews &amp; Lessons'!$J$6:$J$30,1),'Reviews &amp; Lessons'!$J$6:$J$30,0)),"")</f>
        <v>Go-live decision</v>
      </c>
      <c r="H52" s="13"/>
      <c r="I52" s="13"/>
      <c r="J52" s="14" t="n">
        <f aca="false">IFERROR(INDEX('Reviews &amp; Lessons'!$I$6:$I$30,MATCH(SMALL('Reviews &amp; Lessons'!$J$6:$J$30,1),'Reviews &amp; Lessons'!$J$6:$J$30,0)),"")</f>
        <v>85</v>
      </c>
    </row>
    <row r="53" customFormat="false" ht="30" hidden="false" customHeight="true" outlineLevel="0" collapsed="false">
      <c r="B53" s="12" t="str">
        <f aca="false">IFERROR(INDEX('Reviews &amp; Lessons'!$B$6:$B$30,MATCH(SMALL('Reviews &amp; Lessons'!$J$6:$J$30,2),'Reviews &amp; Lessons'!$J$6:$J$30,0)),"")</f>
        <v>Hypercare exit review</v>
      </c>
      <c r="C53" s="15" t="n">
        <f aca="false">IFERROR(INDEX('Reviews &amp; Lessons'!$C$6:$C$30,MATCH(SMALL('Reviews &amp; Lessons'!$J$6:$J$30,2),'Reviews &amp; Lessons'!$J$6:$J$30,0)),"")</f>
        <v>46409</v>
      </c>
      <c r="D53" s="15"/>
      <c r="E53" s="13" t="str">
        <f aca="false">IFERROR(INDEX('Reviews &amp; Lessons'!$G$6:$G$30,MATCH(SMALL('Reviews &amp; Lessons'!$J$6:$J$30,2),'Reviews &amp; Lessons'!$J$6:$J$30,0)),"")</f>
        <v>Tech Lead</v>
      </c>
      <c r="F53" s="13"/>
      <c r="G53" s="13" t="str">
        <f aca="false">IFERROR(INDEX('Reviews &amp; Lessons'!$F$6:$F$30,MATCH(SMALL('Reviews &amp; Lessons'!$J$6:$J$30,2),'Reviews &amp; Lessons'!$J$6:$J$30,0)),"")</f>
        <v>Hypercare exit decision</v>
      </c>
      <c r="H53" s="13"/>
      <c r="I53" s="13"/>
      <c r="J53" s="14" t="n">
        <f aca="false">IFERROR(INDEX('Reviews &amp; Lessons'!$I$6:$I$30,MATCH(SMALL('Reviews &amp; Lessons'!$J$6:$J$30,2),'Reviews &amp; Lessons'!$J$6:$J$30,0)),"")</f>
        <v>134</v>
      </c>
    </row>
    <row r="54" customFormat="false" ht="30" hidden="false" customHeight="true" outlineLevel="0" collapsed="false">
      <c r="B54" s="12" t="str">
        <f aca="false">IFERROR(INDEX('Reviews &amp; Lessons'!$B$6:$B$30,MATCH(SMALL('Reviews &amp; Lessons'!$J$6:$J$30,3),'Reviews &amp; Lessons'!$J$6:$J$30,0)),"")</f>
        <v>Pilot exit review</v>
      </c>
      <c r="C54" s="15" t="n">
        <f aca="false">IFERROR(INDEX('Reviews &amp; Lessons'!$C$6:$C$30,MATCH(SMALL('Reviews &amp; Lessons'!$J$6:$J$30,3),'Reviews &amp; Lessons'!$J$6:$J$30,0)),"")</f>
        <v>46457</v>
      </c>
      <c r="D54" s="15"/>
      <c r="E54" s="13" t="str">
        <f aca="false">IFERROR(INDEX('Reviews &amp; Lessons'!$G$6:$G$30,MATCH(SMALL('Reviews &amp; Lessons'!$J$6:$J$30,3),'Reviews &amp; Lessons'!$J$6:$J$30,0)),"")</f>
        <v>Steering Committee</v>
      </c>
      <c r="F54" s="13"/>
      <c r="G54" s="13" t="str">
        <f aca="false">IFERROR(INDEX('Reviews &amp; Lessons'!$F$6:$F$30,MATCH(SMALL('Reviews &amp; Lessons'!$J$6:$J$30,3),'Reviews &amp; Lessons'!$J$6:$J$30,0)),"")</f>
        <v>Wave 1 go / no-go</v>
      </c>
      <c r="H54" s="13"/>
      <c r="I54" s="13"/>
      <c r="J54" s="14" t="n">
        <f aca="false">IFERROR(INDEX('Reviews &amp; Lessons'!$I$6:$I$30,MATCH(SMALL('Reviews &amp; Lessons'!$J$6:$J$30,3),'Reviews &amp; Lessons'!$J$6:$J$30,0)),"")</f>
        <v>182</v>
      </c>
    </row>
    <row r="55" customFormat="false" ht="30" hidden="false" customHeight="true" outlineLevel="0" collapsed="false">
      <c r="B55" s="12" t="str">
        <f aca="false">IFERROR(INDEX('Reviews &amp; Lessons'!$B$6:$B$30,MATCH(SMALL('Reviews &amp; Lessons'!$J$6:$J$30,4),'Reviews &amp; Lessons'!$J$6:$J$30,0)),"")</f>
        <v>Post-implementation review</v>
      </c>
      <c r="C55" s="15" t="n">
        <f aca="false">IFERROR(INDEX('Reviews &amp; Lessons'!$C$6:$C$30,MATCH(SMALL('Reviews &amp; Lessons'!$J$6:$J$30,4),'Reviews &amp; Lessons'!$J$6:$J$30,0)),"")</f>
        <v>46492</v>
      </c>
      <c r="D55" s="15"/>
      <c r="E55" s="13" t="str">
        <f aca="false">IFERROR(INDEX('Reviews &amp; Lessons'!$G$6:$G$30,MATCH(SMALL('Reviews &amp; Lessons'!$J$6:$J$30,4),'Reviews &amp; Lessons'!$J$6:$J$30,0)),"")</f>
        <v>Business Sponsor</v>
      </c>
      <c r="F55" s="13"/>
      <c r="G55" s="13" t="str">
        <f aca="false">IFERROR(INDEX('Reviews &amp; Lessons'!$F$6:$F$30,MATCH(SMALL('Reviews &amp; Lessons'!$J$6:$J$30,4),'Reviews &amp; Lessons'!$J$6:$J$30,0)),"")</f>
        <v>Improvement actions; business case refresh</v>
      </c>
      <c r="H55" s="13"/>
      <c r="I55" s="13"/>
      <c r="J55" s="14" t="n">
        <f aca="false">IFERROR(INDEX('Reviews &amp; Lessons'!$I$6:$I$30,MATCH(SMALL('Reviews &amp; Lessons'!$J$6:$J$30,4),'Reviews &amp; Lessons'!$J$6:$J$30,0)),"")</f>
        <v>217</v>
      </c>
    </row>
    <row r="56" customFormat="false" ht="30" hidden="false" customHeight="true" outlineLevel="0" collapsed="false">
      <c r="B56" s="12" t="str">
        <f aca="false">IFERROR(INDEX('Reviews &amp; Lessons'!$B$6:$B$30,MATCH(SMALL('Reviews &amp; Lessons'!$J$6:$J$30,5),'Reviews &amp; Lessons'!$J$6:$J$30,0)),"")</f>
        <v>Quarterly benefits review (Q1)</v>
      </c>
      <c r="C56" s="15" t="n">
        <f aca="false">IFERROR(INDEX('Reviews &amp; Lessons'!$C$6:$C$30,MATCH(SMALL('Reviews &amp; Lessons'!$J$6:$J$30,5),'Reviews &amp; Lessons'!$J$6:$J$30,0)),"")</f>
        <v>46499</v>
      </c>
      <c r="D56" s="15"/>
      <c r="E56" s="13" t="str">
        <f aca="false">IFERROR(INDEX('Reviews &amp; Lessons'!$G$6:$G$30,MATCH(SMALL('Reviews &amp; Lessons'!$J$6:$J$30,5),'Reviews &amp; Lessons'!$J$6:$J$30,0)),"")</f>
        <v>Steering Committee</v>
      </c>
      <c r="F56" s="13"/>
      <c r="G56" s="13" t="str">
        <f aca="false">IFERROR(INDEX('Reviews &amp; Lessons'!$F$6:$F$30,MATCH(SMALL('Reviews &amp; Lessons'!$J$6:$J$30,5),'Reviews &amp; Lessons'!$J$6:$J$30,0)),"")</f>
        <v>Benefits status; corrective actions</v>
      </c>
      <c r="H56" s="13"/>
      <c r="I56" s="13"/>
      <c r="J56" s="14" t="n">
        <f aca="false">IFERROR(INDEX('Reviews &amp; Lessons'!$I$6:$I$30,MATCH(SMALL('Reviews &amp; Lessons'!$J$6:$J$30,5),'Reviews &amp; Lessons'!$J$6:$J$30,0)),"")</f>
        <v>224</v>
      </c>
    </row>
    <row r="57" customFormat="false" ht="30" hidden="false" customHeight="true" outlineLevel="0" collapsed="false">
      <c r="B57" s="12" t="str">
        <f aca="false">IFERROR(INDEX('Reviews &amp; Lessons'!$B$6:$B$30,MATCH(SMALL('Reviews &amp; Lessons'!$J$6:$J$30,6),'Reviews &amp; Lessons'!$J$6:$J$30,0)),"")</f>
        <v>Wave 2 go / no-go</v>
      </c>
      <c r="C57" s="15" t="n">
        <f aca="false">IFERROR(INDEX('Reviews &amp; Lessons'!$C$6:$C$30,MATCH(SMALL('Reviews &amp; Lessons'!$J$6:$J$30,6),'Reviews &amp; Lessons'!$J$6:$J$30,0)),"")</f>
        <v>46541</v>
      </c>
      <c r="D57" s="15"/>
      <c r="E57" s="13" t="str">
        <f aca="false">IFERROR(INDEX('Reviews &amp; Lessons'!$G$6:$G$30,MATCH(SMALL('Reviews &amp; Lessons'!$J$6:$J$30,6),'Reviews &amp; Lessons'!$J$6:$J$30,0)),"")</f>
        <v>Steering Committee</v>
      </c>
      <c r="F57" s="13"/>
      <c r="G57" s="13" t="str">
        <f aca="false">IFERROR(INDEX('Reviews &amp; Lessons'!$F$6:$F$30,MATCH(SMALL('Reviews &amp; Lessons'!$J$6:$J$30,6),'Reviews &amp; Lessons'!$J$6:$J$30,0)),"")</f>
        <v>Wave 2 decision</v>
      </c>
      <c r="H57" s="13"/>
      <c r="I57" s="13"/>
      <c r="J57" s="14" t="n">
        <f aca="false">IFERROR(INDEX('Reviews &amp; Lessons'!$I$6:$I$30,MATCH(SMALL('Reviews &amp; Lessons'!$J$6:$J$30,6),'Reviews &amp; Lessons'!$J$6:$J$30,0)),"")</f>
        <v>266</v>
      </c>
    </row>
    <row r="59" customFormat="false" ht="19.5" hidden="false" customHeight="true" outlineLevel="0" collapsed="false">
      <c r="B59" s="8" t="s">
        <v>78</v>
      </c>
      <c r="C59" s="9"/>
      <c r="D59" s="9"/>
      <c r="E59" s="9"/>
      <c r="F59" s="9"/>
      <c r="G59" s="9"/>
      <c r="H59" s="9"/>
      <c r="I59" s="9"/>
      <c r="J59" s="9"/>
    </row>
    <row r="60" customFormat="false" ht="31.5" hidden="false" customHeight="true" outlineLevel="0" collapsed="false">
      <c r="B60" s="11" t="s">
        <v>79</v>
      </c>
      <c r="C60" s="11" t="s">
        <v>80</v>
      </c>
      <c r="D60" s="11"/>
      <c r="E60" s="11" t="s">
        <v>81</v>
      </c>
      <c r="F60" s="11"/>
      <c r="G60" s="11" t="s">
        <v>82</v>
      </c>
      <c r="H60" s="11"/>
      <c r="I60" s="11" t="s">
        <v>83</v>
      </c>
      <c r="J60" s="11"/>
    </row>
    <row r="61" customFormat="false" ht="15" hidden="false" customHeight="false" outlineLevel="0" collapsed="false">
      <c r="B61" s="25" t="s">
        <v>84</v>
      </c>
      <c r="C61" s="34" t="n">
        <f aca="false">COUNTIFS('BAU Transition'!$B$5:$B$34,"Support")</f>
        <v>3</v>
      </c>
      <c r="D61" s="34"/>
      <c r="E61" s="34" t="n">
        <f aca="false">COUNTIFS('BAU Transition'!$B$5:$B$34,"Support",'BAU Transition'!$G$5:$G$34,"Accepted")</f>
        <v>0</v>
      </c>
      <c r="F61" s="34"/>
      <c r="G61" s="34" t="n">
        <f aca="false">COUNTIFS('BAU Transition'!$B$5:$B$34,"Support",'BAU Transition'!$G$5:$G$34,"In Progress")</f>
        <v>0</v>
      </c>
      <c r="H61" s="34"/>
      <c r="I61" s="34" t="n">
        <f aca="false">COUNTIFS('BAU Transition'!$B$5:$B$34,"Support",'BAU Transition'!$G$5:$G$34,"Not Started")+COUNTIFS('BAU Transition'!$B$5:$B$34,"Support",'BAU Transition'!$G$5:$G$34,"At Risk")</f>
        <v>3</v>
      </c>
      <c r="J61" s="34"/>
    </row>
    <row r="62" customFormat="false" ht="15" hidden="false" customHeight="false" outlineLevel="0" collapsed="false">
      <c r="B62" s="25" t="s">
        <v>85</v>
      </c>
      <c r="C62" s="34" t="n">
        <f aca="false">COUNTIFS('BAU Transition'!$B$5:$B$34,"Product")</f>
        <v>2</v>
      </c>
      <c r="D62" s="34"/>
      <c r="E62" s="34" t="n">
        <f aca="false">COUNTIFS('BAU Transition'!$B$5:$B$34,"Product",'BAU Transition'!$G$5:$G$34,"Accepted")</f>
        <v>0</v>
      </c>
      <c r="F62" s="34"/>
      <c r="G62" s="34" t="n">
        <f aca="false">COUNTIFS('BAU Transition'!$B$5:$B$34,"Product",'BAU Transition'!$G$5:$G$34,"In Progress")</f>
        <v>0</v>
      </c>
      <c r="H62" s="34"/>
      <c r="I62" s="34" t="n">
        <f aca="false">COUNTIFS('BAU Transition'!$B$5:$B$34,"Product",'BAU Transition'!$G$5:$G$34,"Not Started")+COUNTIFS('BAU Transition'!$B$5:$B$34,"Product",'BAU Transition'!$G$5:$G$34,"At Risk")</f>
        <v>2</v>
      </c>
      <c r="J62" s="34"/>
    </row>
    <row r="63" customFormat="false" ht="15" hidden="false" customHeight="false" outlineLevel="0" collapsed="false">
      <c r="B63" s="25" t="s">
        <v>86</v>
      </c>
      <c r="C63" s="34" t="n">
        <f aca="false">COUNTIFS('BAU Transition'!$B$5:$B$34,"Data")</f>
        <v>2</v>
      </c>
      <c r="D63" s="34"/>
      <c r="E63" s="34" t="n">
        <f aca="false">COUNTIFS('BAU Transition'!$B$5:$B$34,"Data",'BAU Transition'!$G$5:$G$34,"Accepted")</f>
        <v>0</v>
      </c>
      <c r="F63" s="34"/>
      <c r="G63" s="34" t="n">
        <f aca="false">COUNTIFS('BAU Transition'!$B$5:$B$34,"Data",'BAU Transition'!$G$5:$G$34,"In Progress")</f>
        <v>0</v>
      </c>
      <c r="H63" s="34"/>
      <c r="I63" s="34" t="n">
        <f aca="false">COUNTIFS('BAU Transition'!$B$5:$B$34,"Data",'BAU Transition'!$G$5:$G$34,"Not Started")+COUNTIFS('BAU Transition'!$B$5:$B$34,"Data",'BAU Transition'!$G$5:$G$34,"At Risk")</f>
        <v>2</v>
      </c>
      <c r="J63" s="34"/>
    </row>
    <row r="64" customFormat="false" ht="15" hidden="false" customHeight="false" outlineLevel="0" collapsed="false">
      <c r="B64" s="25" t="s">
        <v>87</v>
      </c>
      <c r="C64" s="34" t="n">
        <f aca="false">COUNTIFS('BAU Transition'!$B$5:$B$34,"Technology")</f>
        <v>2</v>
      </c>
      <c r="D64" s="34"/>
      <c r="E64" s="34" t="n">
        <f aca="false">COUNTIFS('BAU Transition'!$B$5:$B$34,"Technology",'BAU Transition'!$G$5:$G$34,"Accepted")</f>
        <v>0</v>
      </c>
      <c r="F64" s="34"/>
      <c r="G64" s="34" t="n">
        <f aca="false">COUNTIFS('BAU Transition'!$B$5:$B$34,"Technology",'BAU Transition'!$G$5:$G$34,"In Progress")</f>
        <v>0</v>
      </c>
      <c r="H64" s="34"/>
      <c r="I64" s="34" t="n">
        <f aca="false">COUNTIFS('BAU Transition'!$B$5:$B$34,"Technology",'BAU Transition'!$G$5:$G$34,"Not Started")+COUNTIFS('BAU Transition'!$B$5:$B$34,"Technology",'BAU Transition'!$G$5:$G$34,"At Risk")</f>
        <v>2</v>
      </c>
      <c r="J64" s="34"/>
    </row>
    <row r="65" customFormat="false" ht="15" hidden="false" customHeight="false" outlineLevel="0" collapsed="false">
      <c r="B65" s="25" t="s">
        <v>88</v>
      </c>
      <c r="C65" s="34" t="n">
        <f aca="false">COUNTIFS('BAU Transition'!$B$5:$B$34,"Knowledge")</f>
        <v>1</v>
      </c>
      <c r="D65" s="34"/>
      <c r="E65" s="34" t="n">
        <f aca="false">COUNTIFS('BAU Transition'!$B$5:$B$34,"Knowledge",'BAU Transition'!$G$5:$G$34,"Accepted")</f>
        <v>0</v>
      </c>
      <c r="F65" s="34"/>
      <c r="G65" s="34" t="n">
        <f aca="false">COUNTIFS('BAU Transition'!$B$5:$B$34,"Knowledge",'BAU Transition'!$G$5:$G$34,"In Progress")</f>
        <v>0</v>
      </c>
      <c r="H65" s="34"/>
      <c r="I65" s="34" t="n">
        <f aca="false">COUNTIFS('BAU Transition'!$B$5:$B$34,"Knowledge",'BAU Transition'!$G$5:$G$34,"Not Started")+COUNTIFS('BAU Transition'!$B$5:$B$34,"Knowledge",'BAU Transition'!$G$5:$G$34,"At Risk")</f>
        <v>1</v>
      </c>
      <c r="J65" s="34"/>
    </row>
    <row r="66" customFormat="false" ht="15" hidden="false" customHeight="false" outlineLevel="0" collapsed="false">
      <c r="B66" s="25" t="s">
        <v>89</v>
      </c>
      <c r="C66" s="34" t="n">
        <f aca="false">COUNTIFS('BAU Transition'!$B$5:$B$34,"Operations")</f>
        <v>1</v>
      </c>
      <c r="D66" s="34"/>
      <c r="E66" s="34" t="n">
        <f aca="false">COUNTIFS('BAU Transition'!$B$5:$B$34,"Operations",'BAU Transition'!$G$5:$G$34,"Accepted")</f>
        <v>0</v>
      </c>
      <c r="F66" s="34"/>
      <c r="G66" s="34" t="n">
        <f aca="false">COUNTIFS('BAU Transition'!$B$5:$B$34,"Operations",'BAU Transition'!$G$5:$G$34,"In Progress")</f>
        <v>1</v>
      </c>
      <c r="H66" s="34"/>
      <c r="I66" s="34" t="n">
        <f aca="false">COUNTIFS('BAU Transition'!$B$5:$B$34,"Operations",'BAU Transition'!$G$5:$G$34,"Not Started")+COUNTIFS('BAU Transition'!$B$5:$B$34,"Operations",'BAU Transition'!$G$5:$G$34,"At Risk")</f>
        <v>0</v>
      </c>
      <c r="J66" s="34"/>
    </row>
    <row r="67" customFormat="false" ht="15" hidden="false" customHeight="false" outlineLevel="0" collapsed="false">
      <c r="B67" s="25" t="s">
        <v>90</v>
      </c>
      <c r="C67" s="34" t="n">
        <f aca="false">COUNTIFS('BAU Transition'!$B$5:$B$34,"Commercial")</f>
        <v>1</v>
      </c>
      <c r="D67" s="34"/>
      <c r="E67" s="34" t="n">
        <f aca="false">COUNTIFS('BAU Transition'!$B$5:$B$34,"Commercial",'BAU Transition'!$G$5:$G$34,"Accepted")</f>
        <v>0</v>
      </c>
      <c r="F67" s="34"/>
      <c r="G67" s="34" t="n">
        <f aca="false">COUNTIFS('BAU Transition'!$B$5:$B$34,"Commercial",'BAU Transition'!$G$5:$G$34,"In Progress")</f>
        <v>0</v>
      </c>
      <c r="H67" s="34"/>
      <c r="I67" s="34" t="n">
        <f aca="false">COUNTIFS('BAU Transition'!$B$5:$B$34,"Commercial",'BAU Transition'!$G$5:$G$34,"Not Started")+COUNTIFS('BAU Transition'!$B$5:$B$34,"Commercial",'BAU Transition'!$G$5:$G$34,"At Risk")</f>
        <v>1</v>
      </c>
      <c r="J67" s="34"/>
    </row>
  </sheetData>
  <mergeCells count="88">
    <mergeCell ref="C6:D6"/>
    <mergeCell ref="C7:D7"/>
    <mergeCell ref="F10:G10"/>
    <mergeCell ref="H10:J10"/>
    <mergeCell ref="F11:G11"/>
    <mergeCell ref="H11:J11"/>
    <mergeCell ref="F12:G12"/>
    <mergeCell ref="H12:J12"/>
    <mergeCell ref="F13:G13"/>
    <mergeCell ref="H13:J13"/>
    <mergeCell ref="C14:E14"/>
    <mergeCell ref="B41:D41"/>
    <mergeCell ref="E41:G41"/>
    <mergeCell ref="H41:J41"/>
    <mergeCell ref="B42:D42"/>
    <mergeCell ref="E42:G42"/>
    <mergeCell ref="H42:J42"/>
    <mergeCell ref="B43:D43"/>
    <mergeCell ref="E43:G43"/>
    <mergeCell ref="H43:J43"/>
    <mergeCell ref="B44:D44"/>
    <mergeCell ref="E44:G44"/>
    <mergeCell ref="H44:J44"/>
    <mergeCell ref="B45:D45"/>
    <mergeCell ref="E45:G45"/>
    <mergeCell ref="H45:J45"/>
    <mergeCell ref="B46:D46"/>
    <mergeCell ref="E46:G46"/>
    <mergeCell ref="H46:J46"/>
    <mergeCell ref="B47:D47"/>
    <mergeCell ref="E47:G47"/>
    <mergeCell ref="H47:J47"/>
    <mergeCell ref="B48:D48"/>
    <mergeCell ref="E48:G48"/>
    <mergeCell ref="H48:J48"/>
    <mergeCell ref="C51:D51"/>
    <mergeCell ref="E51:F51"/>
    <mergeCell ref="G51:I51"/>
    <mergeCell ref="C52:D52"/>
    <mergeCell ref="E52:F52"/>
    <mergeCell ref="G52:I52"/>
    <mergeCell ref="C53:D53"/>
    <mergeCell ref="E53:F53"/>
    <mergeCell ref="G53:I53"/>
    <mergeCell ref="C54:D54"/>
    <mergeCell ref="E54:F54"/>
    <mergeCell ref="G54:I54"/>
    <mergeCell ref="C55:D55"/>
    <mergeCell ref="E55:F55"/>
    <mergeCell ref="G55:I55"/>
    <mergeCell ref="C56:D56"/>
    <mergeCell ref="E56:F56"/>
    <mergeCell ref="G56:I56"/>
    <mergeCell ref="C57:D57"/>
    <mergeCell ref="E57:F57"/>
    <mergeCell ref="G57:I57"/>
    <mergeCell ref="C60:D60"/>
    <mergeCell ref="E60:F60"/>
    <mergeCell ref="G60:H60"/>
    <mergeCell ref="I60:J60"/>
    <mergeCell ref="C61:D61"/>
    <mergeCell ref="E61:F61"/>
    <mergeCell ref="G61:H61"/>
    <mergeCell ref="I61:J61"/>
    <mergeCell ref="C62:D62"/>
    <mergeCell ref="E62:F62"/>
    <mergeCell ref="G62:H62"/>
    <mergeCell ref="I62:J62"/>
    <mergeCell ref="C63:D63"/>
    <mergeCell ref="E63:F63"/>
    <mergeCell ref="G63:H63"/>
    <mergeCell ref="I63:J63"/>
    <mergeCell ref="C64:D64"/>
    <mergeCell ref="E64:F64"/>
    <mergeCell ref="G64:H64"/>
    <mergeCell ref="I64:J64"/>
    <mergeCell ref="C65:D65"/>
    <mergeCell ref="E65:F65"/>
    <mergeCell ref="G65:H65"/>
    <mergeCell ref="I65:J65"/>
    <mergeCell ref="C66:D66"/>
    <mergeCell ref="E66:F66"/>
    <mergeCell ref="G66:H66"/>
    <mergeCell ref="I66:J66"/>
    <mergeCell ref="C67:D67"/>
    <mergeCell ref="E67:F67"/>
    <mergeCell ref="G67:H67"/>
    <mergeCell ref="I67:J67"/>
  </mergeCells>
  <conditionalFormatting sqref="C14">
    <cfRule type="cellIs" priority="2" operator="equal" aboveAverage="0" equalAverage="0" bottom="0" percent="0" rank="0" text="" dxfId="0">
      <formula>"Ready to exit"</formula>
    </cfRule>
    <cfRule type="cellIs" priority="3" operator="equal" aboveAverage="0" equalAverage="0" bottom="0" percent="0" rank="0" text="" dxfId="1">
      <formula>"Extend hypercare"</formula>
    </cfRule>
    <cfRule type="cellIs" priority="4" operator="equal" aboveAverage="0" equalAverage="0" bottom="0" percent="0" rank="0" text="" dxfId="2">
      <formula>"Awaiting evidence"</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4" min="3" style="0" width="13"/>
    <col collapsed="false" customWidth="true" hidden="false" outlineLevel="0" max="5" min="5" style="0" width="8"/>
    <col collapsed="false" customWidth="true" hidden="false" outlineLevel="0" max="6" min="6" style="0" width="30"/>
    <col collapsed="false" customWidth="true" hidden="false" outlineLevel="0" max="7" min="7" style="0" width="38"/>
    <col collapsed="false" customWidth="true" hidden="false" outlineLevel="0" max="8" min="8" style="0" width="28"/>
    <col collapsed="false" customWidth="true" hidden="false" outlineLevel="0" max="10" min="9" style="0" width="18"/>
    <col collapsed="false" customWidth="true" hidden="false" outlineLevel="0" max="12" min="11" style="0" width="16"/>
  </cols>
  <sheetData>
    <row r="1" customFormat="false" ht="19.7" hidden="false" customHeight="false" outlineLevel="0" collapsed="false">
      <c r="A1" s="35" t="s">
        <v>91</v>
      </c>
    </row>
    <row r="2" customFormat="false" ht="15" hidden="false" customHeight="false" outlineLevel="0" collapsed="false">
      <c r="A2" s="17" t="s">
        <v>92</v>
      </c>
    </row>
    <row r="3" customFormat="false" ht="15" hidden="false" customHeight="false" outlineLevel="0" collapsed="false">
      <c r="A3" s="36" t="s">
        <v>93</v>
      </c>
    </row>
    <row r="5" customFormat="false" ht="19.5" hidden="false" customHeight="true" outlineLevel="0" collapsed="false">
      <c r="A5" s="8" t="s">
        <v>94</v>
      </c>
      <c r="B5" s="9"/>
      <c r="C5" s="9"/>
      <c r="D5" s="9"/>
      <c r="E5" s="9"/>
      <c r="F5" s="9"/>
      <c r="G5" s="9"/>
      <c r="H5" s="9"/>
      <c r="I5" s="9"/>
      <c r="J5" s="9"/>
      <c r="K5" s="9"/>
    </row>
    <row r="6" customFormat="false" ht="31.5" hidden="false" customHeight="true" outlineLevel="0" collapsed="false">
      <c r="A6" s="37" t="s">
        <v>95</v>
      </c>
      <c r="B6" s="37" t="s">
        <v>55</v>
      </c>
      <c r="C6" s="37" t="s">
        <v>56</v>
      </c>
      <c r="D6" s="37" t="s">
        <v>57</v>
      </c>
      <c r="E6" s="38" t="s">
        <v>58</v>
      </c>
      <c r="F6" s="37" t="s">
        <v>96</v>
      </c>
      <c r="G6" s="37" t="s">
        <v>97</v>
      </c>
      <c r="H6" s="37" t="s">
        <v>60</v>
      </c>
      <c r="I6" s="37" t="s">
        <v>59</v>
      </c>
    </row>
    <row r="7" customFormat="false" ht="45" hidden="false" customHeight="true" outlineLevel="0" collapsed="false">
      <c r="A7" s="14" t="s">
        <v>98</v>
      </c>
      <c r="B7" s="12" t="s">
        <v>99</v>
      </c>
      <c r="C7" s="15" t="n">
        <v>46367</v>
      </c>
      <c r="D7" s="15" t="n">
        <v>46374</v>
      </c>
      <c r="E7" s="39" t="n">
        <f aca="false">D7-C7+1</f>
        <v>8</v>
      </c>
      <c r="F7" s="13" t="s">
        <v>100</v>
      </c>
      <c r="G7" s="13" t="s">
        <v>101</v>
      </c>
      <c r="H7" s="13" t="s">
        <v>102</v>
      </c>
      <c r="I7" s="13" t="s">
        <v>103</v>
      </c>
    </row>
    <row r="8" customFormat="false" ht="45" hidden="false" customHeight="true" outlineLevel="0" collapsed="false">
      <c r="A8" s="14" t="s">
        <v>104</v>
      </c>
      <c r="B8" s="12" t="s">
        <v>105</v>
      </c>
      <c r="C8" s="15" t="n">
        <v>46377</v>
      </c>
      <c r="D8" s="15" t="n">
        <v>46395</v>
      </c>
      <c r="E8" s="39" t="n">
        <f aca="false">D8-C8+1</f>
        <v>19</v>
      </c>
      <c r="F8" s="13" t="s">
        <v>106</v>
      </c>
      <c r="G8" s="13" t="s">
        <v>107</v>
      </c>
      <c r="H8" s="13" t="s">
        <v>108</v>
      </c>
      <c r="I8" s="13" t="s">
        <v>109</v>
      </c>
    </row>
    <row r="9" customFormat="false" ht="31.5" hidden="false" customHeight="true" outlineLevel="0" collapsed="false">
      <c r="A9" s="14" t="s">
        <v>110</v>
      </c>
      <c r="B9" s="12" t="s">
        <v>111</v>
      </c>
      <c r="C9" s="15" t="n">
        <v>46398</v>
      </c>
      <c r="D9" s="15" t="n">
        <v>46409</v>
      </c>
      <c r="E9" s="39" t="n">
        <f aca="false">D9-C9+1</f>
        <v>12</v>
      </c>
      <c r="F9" s="13" t="s">
        <v>112</v>
      </c>
      <c r="G9" s="13" t="s">
        <v>113</v>
      </c>
      <c r="H9" s="13" t="s">
        <v>114</v>
      </c>
      <c r="I9" s="13" t="s">
        <v>115</v>
      </c>
    </row>
    <row r="11" customFormat="false" ht="19.5" hidden="false" customHeight="true" outlineLevel="0" collapsed="false">
      <c r="A11" s="8" t="s">
        <v>116</v>
      </c>
      <c r="B11" s="9"/>
      <c r="C11" s="9"/>
      <c r="D11" s="9"/>
      <c r="E11" s="9"/>
      <c r="F11" s="9"/>
      <c r="G11" s="9"/>
      <c r="H11" s="9"/>
      <c r="I11" s="9"/>
      <c r="J11" s="9"/>
      <c r="K11" s="9"/>
    </row>
    <row r="12" customFormat="false" ht="31.5" hidden="false" customHeight="true" outlineLevel="0" collapsed="false">
      <c r="A12" s="37" t="s">
        <v>95</v>
      </c>
      <c r="B12" s="37" t="s">
        <v>117</v>
      </c>
      <c r="C12" s="37" t="s">
        <v>63</v>
      </c>
      <c r="D12" s="37"/>
      <c r="E12" s="37" t="s">
        <v>118</v>
      </c>
      <c r="F12" s="37" t="s">
        <v>119</v>
      </c>
      <c r="G12" s="37" t="s">
        <v>120</v>
      </c>
      <c r="H12" s="37" t="s">
        <v>121</v>
      </c>
      <c r="I12" s="38" t="s">
        <v>122</v>
      </c>
      <c r="J12" s="37" t="s">
        <v>123</v>
      </c>
      <c r="K12" s="37" t="s">
        <v>124</v>
      </c>
      <c r="L12" s="37" t="s">
        <v>125</v>
      </c>
    </row>
    <row r="13" customFormat="false" ht="31.5" hidden="false" customHeight="true" outlineLevel="0" collapsed="false">
      <c r="A13" s="40" t="s">
        <v>126</v>
      </c>
      <c r="B13" s="12" t="s">
        <v>127</v>
      </c>
      <c r="C13" s="13" t="s">
        <v>128</v>
      </c>
      <c r="D13" s="13"/>
      <c r="E13" s="14" t="s">
        <v>129</v>
      </c>
      <c r="F13" s="14" t="s">
        <v>130</v>
      </c>
      <c r="G13" s="41" t="n">
        <v>10</v>
      </c>
      <c r="H13" s="41"/>
      <c r="I13" s="42" t="str">
        <f aca="false">IF(A13="","",IF(H13="","Not measured",IF(E13="Yes/No",IF(H13="Yes","Met","Not met"),IF(F13="≤",IF(H13&lt;=G13,"Met","Not met"),IF(H13&gt;=G13,"Met","Not met")))))</f>
        <v>Not measured</v>
      </c>
      <c r="J13" s="13" t="s">
        <v>131</v>
      </c>
      <c r="K13" s="13" t="s">
        <v>103</v>
      </c>
      <c r="L13" s="14" t="s">
        <v>132</v>
      </c>
    </row>
    <row r="14" customFormat="false" ht="31.5" hidden="false" customHeight="true" outlineLevel="0" collapsed="false">
      <c r="A14" s="40" t="s">
        <v>133</v>
      </c>
      <c r="B14" s="12" t="s">
        <v>134</v>
      </c>
      <c r="C14" s="13" t="s">
        <v>135</v>
      </c>
      <c r="D14" s="13"/>
      <c r="E14" s="14" t="s">
        <v>129</v>
      </c>
      <c r="F14" s="14" t="s">
        <v>136</v>
      </c>
      <c r="G14" s="41" t="n">
        <v>10</v>
      </c>
      <c r="H14" s="41"/>
      <c r="I14" s="42" t="str">
        <f aca="false">IF(A14="","",IF(H14="","Not measured",IF(E14="Yes/No",IF(H14="Yes","Met","Not met"),IF(F14="≤",IF(H14&lt;=G14,"Met","Not met"),IF(H14&gt;=G14,"Met","Not met")))))</f>
        <v>Not measured</v>
      </c>
      <c r="J14" s="13" t="s">
        <v>131</v>
      </c>
      <c r="K14" s="13" t="s">
        <v>103</v>
      </c>
      <c r="L14" s="14"/>
    </row>
    <row r="15" customFormat="false" ht="31.5" hidden="false" customHeight="true" outlineLevel="0" collapsed="false">
      <c r="A15" s="40" t="s">
        <v>137</v>
      </c>
      <c r="B15" s="12" t="s">
        <v>138</v>
      </c>
      <c r="C15" s="13" t="s">
        <v>139</v>
      </c>
      <c r="D15" s="13"/>
      <c r="E15" s="14" t="s">
        <v>129</v>
      </c>
      <c r="F15" s="14" t="s">
        <v>136</v>
      </c>
      <c r="G15" s="41" t="n">
        <v>5</v>
      </c>
      <c r="H15" s="41"/>
      <c r="I15" s="42" t="str">
        <f aca="false">IF(A15="","",IF(H15="","Not measured",IF(E15="Yes/No",IF(H15="Yes","Met","Not met"),IF(F15="≤",IF(H15&lt;=G15,"Met","Not met"),IF(H15&gt;=G15,"Met","Not met")))))</f>
        <v>Not measured</v>
      </c>
      <c r="J15" s="13" t="s">
        <v>140</v>
      </c>
      <c r="K15" s="13" t="s">
        <v>103</v>
      </c>
      <c r="L15" s="14" t="s">
        <v>141</v>
      </c>
    </row>
    <row r="16" customFormat="false" ht="30" hidden="false" customHeight="true" outlineLevel="0" collapsed="false">
      <c r="A16" s="40" t="s">
        <v>142</v>
      </c>
      <c r="B16" s="12" t="s">
        <v>143</v>
      </c>
      <c r="C16" s="13" t="s">
        <v>144</v>
      </c>
      <c r="D16" s="13"/>
      <c r="E16" s="14" t="s">
        <v>129</v>
      </c>
      <c r="F16" s="14" t="s">
        <v>136</v>
      </c>
      <c r="G16" s="41" t="n">
        <v>0</v>
      </c>
      <c r="H16" s="41"/>
      <c r="I16" s="42" t="str">
        <f aca="false">IF(A16="","",IF(H16="","Not measured",IF(E16="Yes/No",IF(H16="Yes","Met","Not met"),IF(F16="≤",IF(H16&lt;=G16,"Met","Not met"),IF(H16&gt;=G16,"Met","Not met")))))</f>
        <v>Not measured</v>
      </c>
      <c r="J16" s="13" t="s">
        <v>145</v>
      </c>
      <c r="K16" s="13" t="s">
        <v>103</v>
      </c>
      <c r="L16" s="14" t="s">
        <v>146</v>
      </c>
    </row>
    <row r="17" customFormat="false" ht="31.5" hidden="false" customHeight="true" outlineLevel="0" collapsed="false">
      <c r="A17" s="40" t="s">
        <v>147</v>
      </c>
      <c r="B17" s="12" t="s">
        <v>148</v>
      </c>
      <c r="C17" s="13" t="s">
        <v>149</v>
      </c>
      <c r="D17" s="13"/>
      <c r="E17" s="14" t="s">
        <v>129</v>
      </c>
      <c r="F17" s="14" t="s">
        <v>136</v>
      </c>
      <c r="G17" s="41" t="n">
        <v>2</v>
      </c>
      <c r="H17" s="41"/>
      <c r="I17" s="42" t="str">
        <f aca="false">IF(A17="","",IF(H17="","Not measured",IF(E17="Yes/No",IF(H17="Yes","Met","Not met"),IF(F17="≤",IF(H17&lt;=G17,"Met","Not met"),IF(H17&gt;=G17,"Met","Not met")))))</f>
        <v>Not measured</v>
      </c>
      <c r="J17" s="13" t="s">
        <v>150</v>
      </c>
      <c r="K17" s="13" t="s">
        <v>103</v>
      </c>
      <c r="L17" s="14" t="s">
        <v>151</v>
      </c>
    </row>
    <row r="18" customFormat="false" ht="31.5" hidden="false" customHeight="true" outlineLevel="0" collapsed="false">
      <c r="A18" s="40" t="s">
        <v>152</v>
      </c>
      <c r="B18" s="12" t="s">
        <v>153</v>
      </c>
      <c r="C18" s="13" t="s">
        <v>154</v>
      </c>
      <c r="D18" s="13"/>
      <c r="E18" s="14" t="s">
        <v>129</v>
      </c>
      <c r="F18" s="14" t="s">
        <v>136</v>
      </c>
      <c r="G18" s="41" t="n">
        <v>0</v>
      </c>
      <c r="H18" s="41"/>
      <c r="I18" s="42" t="str">
        <f aca="false">IF(A18="","",IF(H18="","Not measured",IF(E18="Yes/No",IF(H18="Yes","Met","Not met"),IF(F18="≤",IF(H18&lt;=G18,"Met","Not met"),IF(H18&gt;=G18,"Met","Not met")))))</f>
        <v>Not measured</v>
      </c>
      <c r="J18" s="13" t="s">
        <v>155</v>
      </c>
      <c r="K18" s="13" t="s">
        <v>156</v>
      </c>
      <c r="L18" s="14" t="s">
        <v>157</v>
      </c>
    </row>
    <row r="19" customFormat="false" ht="30" hidden="false" customHeight="true" outlineLevel="0" collapsed="false">
      <c r="A19" s="40" t="s">
        <v>158</v>
      </c>
      <c r="B19" s="12" t="s">
        <v>159</v>
      </c>
      <c r="C19" s="13" t="s">
        <v>160</v>
      </c>
      <c r="D19" s="13"/>
      <c r="E19" s="14" t="s">
        <v>129</v>
      </c>
      <c r="F19" s="14" t="s">
        <v>136</v>
      </c>
      <c r="G19" s="41" t="n">
        <v>0</v>
      </c>
      <c r="H19" s="41"/>
      <c r="I19" s="42" t="str">
        <f aca="false">IF(A19="","",IF(H19="","Not measured",IF(E19="Yes/No",IF(H19="Yes","Met","Not met"),IF(F19="≤",IF(H19&lt;=G19,"Met","Not met"),IF(H19&gt;=G19,"Met","Not met")))))</f>
        <v>Not measured</v>
      </c>
      <c r="J19" s="13" t="s">
        <v>161</v>
      </c>
      <c r="K19" s="13" t="s">
        <v>162</v>
      </c>
      <c r="L19" s="14" t="s">
        <v>163</v>
      </c>
    </row>
    <row r="20" customFormat="false" ht="31.5" hidden="false" customHeight="true" outlineLevel="0" collapsed="false">
      <c r="A20" s="40" t="s">
        <v>164</v>
      </c>
      <c r="B20" s="12" t="s">
        <v>165</v>
      </c>
      <c r="C20" s="13" t="s">
        <v>166</v>
      </c>
      <c r="D20" s="13"/>
      <c r="E20" s="14" t="s">
        <v>129</v>
      </c>
      <c r="F20" s="14" t="s">
        <v>136</v>
      </c>
      <c r="G20" s="43" t="n">
        <v>0.1</v>
      </c>
      <c r="H20" s="43"/>
      <c r="I20" s="42" t="str">
        <f aca="false">IF(A20="","",IF(H20="","Not measured",IF(E20="Yes/No",IF(H20="Yes","Met","Not met"),IF(F20="≤",IF(H20&lt;=G20,"Met","Not met"),IF(H20&gt;=G20,"Met","Not met")))))</f>
        <v>Not measured</v>
      </c>
      <c r="J20" s="13" t="s">
        <v>167</v>
      </c>
      <c r="K20" s="13" t="s">
        <v>103</v>
      </c>
      <c r="L20" s="14"/>
    </row>
    <row r="21" customFormat="false" ht="31.5" hidden="false" customHeight="true" outlineLevel="0" collapsed="false">
      <c r="A21" s="40" t="s">
        <v>168</v>
      </c>
      <c r="B21" s="12" t="s">
        <v>169</v>
      </c>
      <c r="C21" s="13" t="s">
        <v>170</v>
      </c>
      <c r="D21" s="13"/>
      <c r="E21" s="14" t="s">
        <v>171</v>
      </c>
      <c r="F21" s="14" t="s">
        <v>172</v>
      </c>
      <c r="G21" s="41" t="s">
        <v>173</v>
      </c>
      <c r="H21" s="41"/>
      <c r="I21" s="42" t="str">
        <f aca="false">IF(A21="","",IF(H21="","Not measured",IF(E21="Yes/No",IF(H21="Yes","Met","Not met"),IF(F21="≤",IF(H21&lt;=G21,"Met","Not met"),IF(H21&gt;=G21,"Met","Not met")))))</f>
        <v>Not measured</v>
      </c>
      <c r="J21" s="13" t="s">
        <v>174</v>
      </c>
      <c r="K21" s="13" t="s">
        <v>175</v>
      </c>
      <c r="L21" s="14" t="s">
        <v>176</v>
      </c>
    </row>
    <row r="22" customFormat="false" ht="31.5" hidden="false" customHeight="true" outlineLevel="0" collapsed="false">
      <c r="A22" s="40" t="s">
        <v>177</v>
      </c>
      <c r="B22" s="12" t="s">
        <v>178</v>
      </c>
      <c r="C22" s="13" t="s">
        <v>179</v>
      </c>
      <c r="D22" s="13"/>
      <c r="E22" s="14" t="s">
        <v>171</v>
      </c>
      <c r="F22" s="14" t="s">
        <v>172</v>
      </c>
      <c r="G22" s="41" t="s">
        <v>173</v>
      </c>
      <c r="H22" s="41"/>
      <c r="I22" s="42" t="str">
        <f aca="false">IF(A22="","",IF(H22="","Not measured",IF(E22="Yes/No",IF(H22="Yes","Met","Not met"),IF(F22="≤",IF(H22&lt;=G22,"Met","Not met"),IF(H22&gt;=G22,"Met","Not met")))))</f>
        <v>Not measured</v>
      </c>
      <c r="J22" s="13" t="s">
        <v>180</v>
      </c>
      <c r="K22" s="13" t="s">
        <v>181</v>
      </c>
      <c r="L22" s="14" t="s">
        <v>182</v>
      </c>
    </row>
    <row r="23" customFormat="false" ht="31.5" hidden="false" customHeight="true" outlineLevel="0" collapsed="false">
      <c r="A23" s="40" t="s">
        <v>183</v>
      </c>
      <c r="B23" s="12" t="s">
        <v>184</v>
      </c>
      <c r="C23" s="13" t="s">
        <v>185</v>
      </c>
      <c r="D23" s="13"/>
      <c r="E23" s="14" t="s">
        <v>129</v>
      </c>
      <c r="F23" s="14" t="s">
        <v>130</v>
      </c>
      <c r="G23" s="41" t="n">
        <v>8</v>
      </c>
      <c r="H23" s="41"/>
      <c r="I23" s="42" t="str">
        <f aca="false">IF(A23="","",IF(H23="","Not measured",IF(E23="Yes/No",IF(H23="Yes","Met","Not met"),IF(F23="≤",IF(H23&lt;=G23,"Met","Not met"),IF(H23&gt;=G23,"Met","Not met")))))</f>
        <v>Not measured</v>
      </c>
      <c r="J23" s="13" t="s">
        <v>186</v>
      </c>
      <c r="K23" s="13" t="s">
        <v>187</v>
      </c>
      <c r="L23" s="14" t="s">
        <v>188</v>
      </c>
    </row>
    <row r="24" customFormat="false" ht="31.5" hidden="false" customHeight="true" outlineLevel="0" collapsed="false">
      <c r="A24" s="40" t="s">
        <v>189</v>
      </c>
      <c r="B24" s="12" t="s">
        <v>190</v>
      </c>
      <c r="C24" s="13" t="s">
        <v>191</v>
      </c>
      <c r="D24" s="13"/>
      <c r="E24" s="14" t="s">
        <v>129</v>
      </c>
      <c r="F24" s="14" t="s">
        <v>130</v>
      </c>
      <c r="G24" s="43" t="n">
        <v>0.95</v>
      </c>
      <c r="H24" s="43"/>
      <c r="I24" s="42" t="str">
        <f aca="false">IF(A24="","",IF(H24="","Not measured",IF(E24="Yes/No",IF(H24="Yes","Met","Not met"),IF(F24="≤",IF(H24&lt;=G24,"Met","Not met"),IF(H24&gt;=G24,"Met","Not met")))))</f>
        <v>Not measured</v>
      </c>
      <c r="J24" s="13" t="s">
        <v>192</v>
      </c>
      <c r="K24" s="13" t="s">
        <v>115</v>
      </c>
      <c r="L24" s="14" t="s">
        <v>193</v>
      </c>
    </row>
    <row r="26" customFormat="false" ht="15" hidden="false" customHeight="false" outlineLevel="0" collapsed="false">
      <c r="B26" s="12" t="s">
        <v>194</v>
      </c>
      <c r="C26" s="40" t="str">
        <f aca="false">COUNTIFS(I13:I24,"Met")&amp;" of "&amp;COUNTA(A13:A24)</f>
        <v>0 of 12</v>
      </c>
      <c r="D26" s="40"/>
    </row>
    <row r="27" customFormat="false" ht="23.85" hidden="false" customHeight="false" outlineLevel="0" collapsed="false">
      <c r="B27" s="12" t="s">
        <v>195</v>
      </c>
      <c r="C27" s="40" t="str">
        <f aca="false">IF(COUNTIFS(I13:I24,"Met")=COUNTA(A13:A24),"Ready to exit",IF(COUNTIFS(I13:I24,"Not met")&gt;0,"Extend hypercare","Awaiting evidence"))</f>
        <v>Awaiting evidence</v>
      </c>
      <c r="D27" s="40"/>
    </row>
  </sheetData>
  <mergeCells count="15">
    <mergeCell ref="C12:D12"/>
    <mergeCell ref="C13:D13"/>
    <mergeCell ref="C14:D14"/>
    <mergeCell ref="C15:D15"/>
    <mergeCell ref="C16:D16"/>
    <mergeCell ref="C17:D17"/>
    <mergeCell ref="C18:D18"/>
    <mergeCell ref="C19:D19"/>
    <mergeCell ref="C20:D20"/>
    <mergeCell ref="C21:D21"/>
    <mergeCell ref="C22:D22"/>
    <mergeCell ref="C23:D23"/>
    <mergeCell ref="C24:D24"/>
    <mergeCell ref="C26:D26"/>
    <mergeCell ref="C27:D27"/>
  </mergeCells>
  <conditionalFormatting sqref="I13:I24">
    <cfRule type="cellIs" priority="2" operator="equal" aboveAverage="0" equalAverage="0" bottom="0" percent="0" rank="0" text="" dxfId="0">
      <formula>"Met"</formula>
    </cfRule>
    <cfRule type="cellIs" priority="3" operator="equal" aboveAverage="0" equalAverage="0" bottom="0" percent="0" rank="0" text="" dxfId="1">
      <formula>"Not met"</formula>
    </cfRule>
    <cfRule type="cellIs" priority="4" operator="equal" aboveAverage="0" equalAverage="0" bottom="0" percent="0" rank="0" text="" dxfId="2">
      <formula>"Not measured"</formula>
    </cfRule>
  </conditionalFormatting>
  <conditionalFormatting sqref="C27">
    <cfRule type="cellIs" priority="5" operator="equal" aboveAverage="0" equalAverage="0" bottom="0" percent="0" rank="0" text="" dxfId="0">
      <formula>"Ready to exit"</formula>
    </cfRule>
    <cfRule type="cellIs" priority="6" operator="equal" aboveAverage="0" equalAverage="0" bottom="0" percent="0" rank="0" text="" dxfId="1">
      <formula>"Extend hypercare"</formula>
    </cfRule>
    <cfRule type="cellIs" priority="7" operator="equal" aboveAverage="0" equalAverage="0" bottom="0" percent="0" rank="0" text="" dxfId="2">
      <formula>"Awaiting evidence"</formula>
    </cfRule>
  </conditionalFormatting>
  <dataValidations count="2">
    <dataValidation allowBlank="true" errorStyle="stop" operator="between" showDropDown="false" showErrorMessage="false" showInputMessage="false" sqref="F13:F24" type="list">
      <formula1>"≤,≥,="</formula1>
      <formula2>0</formula2>
    </dataValidation>
    <dataValidation allowBlank="true" errorStyle="stop" operator="between" showDropDown="false" showErrorMessage="false" showInputMessage="false" sqref="E13:E24" type="list">
      <formula1>"Numeric,Yes/No"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2"/>
    <col collapsed="false" customWidth="true" hidden="false" outlineLevel="0" max="3" min="3" style="0" width="46"/>
    <col collapsed="false" customWidth="true" hidden="false" outlineLevel="0" max="4" min="4" style="0" width="14"/>
    <col collapsed="false" customWidth="true" hidden="false" outlineLevel="0" max="5" min="5" style="0" width="18"/>
    <col collapsed="false" customWidth="true" hidden="false" outlineLevel="0" max="6" min="6" style="0" width="40"/>
    <col collapsed="false" customWidth="true" hidden="false" outlineLevel="0" max="7" min="7" style="0" width="26"/>
  </cols>
  <sheetData>
    <row r="1" customFormat="false" ht="19.7" hidden="false" customHeight="false" outlineLevel="0" collapsed="false">
      <c r="A1" s="35" t="s">
        <v>196</v>
      </c>
    </row>
    <row r="2" customFormat="false" ht="15" hidden="false" customHeight="false" outlineLevel="0" collapsed="false">
      <c r="A2" s="17" t="s">
        <v>197</v>
      </c>
    </row>
    <row r="4" customFormat="false" ht="19.5" hidden="false" customHeight="true" outlineLevel="0" collapsed="false">
      <c r="A4" s="8" t="s">
        <v>198</v>
      </c>
      <c r="B4" s="9"/>
      <c r="C4" s="9"/>
      <c r="D4" s="9"/>
      <c r="E4" s="9"/>
      <c r="F4" s="9"/>
      <c r="G4" s="9"/>
    </row>
    <row r="5" customFormat="false" ht="31.5" hidden="false" customHeight="true" outlineLevel="0" collapsed="false">
      <c r="A5" s="37" t="s">
        <v>199</v>
      </c>
      <c r="B5" s="37" t="s">
        <v>200</v>
      </c>
      <c r="C5" s="37" t="s">
        <v>201</v>
      </c>
      <c r="D5" s="37" t="s">
        <v>202</v>
      </c>
      <c r="E5" s="37" t="s">
        <v>203</v>
      </c>
      <c r="F5" s="37" t="s">
        <v>204</v>
      </c>
      <c r="G5" s="37" t="s">
        <v>205</v>
      </c>
    </row>
    <row r="6" customFormat="false" ht="45" hidden="false" customHeight="true" outlineLevel="0" collapsed="false">
      <c r="A6" s="40" t="s">
        <v>206</v>
      </c>
      <c r="B6" s="14" t="s">
        <v>207</v>
      </c>
      <c r="C6" s="13" t="s">
        <v>208</v>
      </c>
      <c r="D6" s="14" t="s">
        <v>209</v>
      </c>
      <c r="E6" s="14" t="s">
        <v>210</v>
      </c>
      <c r="F6" s="13" t="s">
        <v>211</v>
      </c>
      <c r="G6" s="13" t="s">
        <v>212</v>
      </c>
    </row>
    <row r="7" customFormat="false" ht="45" hidden="false" customHeight="true" outlineLevel="0" collapsed="false">
      <c r="A7" s="40" t="s">
        <v>213</v>
      </c>
      <c r="B7" s="14" t="s">
        <v>214</v>
      </c>
      <c r="C7" s="13" t="s">
        <v>215</v>
      </c>
      <c r="D7" s="14" t="s">
        <v>216</v>
      </c>
      <c r="E7" s="14" t="s">
        <v>217</v>
      </c>
      <c r="F7" s="13" t="s">
        <v>218</v>
      </c>
      <c r="G7" s="13" t="s">
        <v>103</v>
      </c>
    </row>
    <row r="8" customFormat="false" ht="31.5" hidden="false" customHeight="true" outlineLevel="0" collapsed="false">
      <c r="A8" s="40" t="s">
        <v>219</v>
      </c>
      <c r="B8" s="14" t="s">
        <v>220</v>
      </c>
      <c r="C8" s="13" t="s">
        <v>221</v>
      </c>
      <c r="D8" s="14" t="s">
        <v>222</v>
      </c>
      <c r="E8" s="14" t="s">
        <v>223</v>
      </c>
      <c r="F8" s="13" t="s">
        <v>224</v>
      </c>
      <c r="G8" s="13" t="s">
        <v>175</v>
      </c>
    </row>
    <row r="9" customFormat="false" ht="31.5" hidden="false" customHeight="true" outlineLevel="0" collapsed="false">
      <c r="A9" s="40" t="s">
        <v>225</v>
      </c>
      <c r="B9" s="14" t="s">
        <v>226</v>
      </c>
      <c r="C9" s="13" t="s">
        <v>227</v>
      </c>
      <c r="D9" s="14" t="s">
        <v>217</v>
      </c>
      <c r="E9" s="14" t="s">
        <v>228</v>
      </c>
      <c r="F9" s="13" t="s">
        <v>229</v>
      </c>
      <c r="G9" s="13" t="s">
        <v>115</v>
      </c>
    </row>
    <row r="11" customFormat="false" ht="19.5" hidden="false" customHeight="true" outlineLevel="0" collapsed="false">
      <c r="A11" s="8" t="s">
        <v>230</v>
      </c>
      <c r="B11" s="9"/>
      <c r="C11" s="9"/>
      <c r="D11" s="9"/>
      <c r="E11" s="9"/>
      <c r="F11" s="9"/>
      <c r="G11" s="9"/>
    </row>
    <row r="12" customFormat="false" ht="31.5" hidden="false" customHeight="true" outlineLevel="0" collapsed="false">
      <c r="A12" s="37" t="s">
        <v>231</v>
      </c>
      <c r="B12" s="37" t="s">
        <v>232</v>
      </c>
      <c r="C12" s="37"/>
      <c r="D12" s="37" t="s">
        <v>233</v>
      </c>
      <c r="E12" s="37"/>
      <c r="F12" s="37" t="s">
        <v>234</v>
      </c>
      <c r="G12" s="37" t="s">
        <v>235</v>
      </c>
    </row>
    <row r="13" customFormat="false" ht="45.75" hidden="false" customHeight="true" outlineLevel="0" collapsed="false">
      <c r="A13" s="40" t="s">
        <v>236</v>
      </c>
      <c r="B13" s="13" t="s">
        <v>237</v>
      </c>
      <c r="C13" s="13"/>
      <c r="D13" s="13" t="s">
        <v>238</v>
      </c>
      <c r="E13" s="13"/>
      <c r="F13" s="13" t="s">
        <v>239</v>
      </c>
      <c r="G13" s="13" t="s">
        <v>240</v>
      </c>
    </row>
    <row r="14" customFormat="false" ht="45.75" hidden="false" customHeight="true" outlineLevel="0" collapsed="false">
      <c r="A14" s="40" t="s">
        <v>241</v>
      </c>
      <c r="B14" s="13" t="s">
        <v>242</v>
      </c>
      <c r="C14" s="13"/>
      <c r="D14" s="13" t="s">
        <v>243</v>
      </c>
      <c r="E14" s="13"/>
      <c r="F14" s="13" t="s">
        <v>244</v>
      </c>
      <c r="G14" s="13" t="s">
        <v>245</v>
      </c>
    </row>
    <row r="15" customFormat="false" ht="45.75" hidden="false" customHeight="true" outlineLevel="0" collapsed="false">
      <c r="A15" s="40" t="s">
        <v>246</v>
      </c>
      <c r="B15" s="13" t="s">
        <v>247</v>
      </c>
      <c r="C15" s="13"/>
      <c r="D15" s="13" t="s">
        <v>248</v>
      </c>
      <c r="E15" s="13"/>
      <c r="F15" s="13" t="s">
        <v>249</v>
      </c>
      <c r="G15" s="13" t="s">
        <v>250</v>
      </c>
    </row>
    <row r="17" customFormat="false" ht="19.5" hidden="false" customHeight="true" outlineLevel="0" collapsed="false">
      <c r="A17" s="8" t="s">
        <v>251</v>
      </c>
      <c r="B17" s="9"/>
      <c r="C17" s="9"/>
      <c r="D17" s="9"/>
      <c r="E17" s="9"/>
      <c r="F17" s="9"/>
      <c r="G17" s="9"/>
    </row>
    <row r="18" customFormat="false" ht="31.5" hidden="false" customHeight="true" outlineLevel="0" collapsed="false">
      <c r="A18" s="37" t="s">
        <v>95</v>
      </c>
      <c r="B18" s="37" t="s">
        <v>252</v>
      </c>
      <c r="C18" s="37" t="s">
        <v>253</v>
      </c>
      <c r="D18" s="37"/>
      <c r="E18" s="37"/>
      <c r="F18" s="37" t="s">
        <v>124</v>
      </c>
      <c r="G18" s="37" t="s">
        <v>125</v>
      </c>
    </row>
    <row r="19" customFormat="false" ht="45" hidden="false" customHeight="true" outlineLevel="0" collapsed="false">
      <c r="A19" s="40" t="s">
        <v>254</v>
      </c>
      <c r="B19" s="12" t="s">
        <v>255</v>
      </c>
      <c r="C19" s="13" t="s">
        <v>256</v>
      </c>
      <c r="D19" s="13"/>
      <c r="E19" s="13"/>
      <c r="F19" s="13" t="s">
        <v>156</v>
      </c>
      <c r="G19" s="13" t="s">
        <v>257</v>
      </c>
    </row>
    <row r="20" customFormat="false" ht="45" hidden="false" customHeight="true" outlineLevel="0" collapsed="false">
      <c r="A20" s="40" t="s">
        <v>258</v>
      </c>
      <c r="B20" s="12" t="s">
        <v>259</v>
      </c>
      <c r="C20" s="13" t="s">
        <v>260</v>
      </c>
      <c r="D20" s="13"/>
      <c r="E20" s="13"/>
      <c r="F20" s="13" t="s">
        <v>162</v>
      </c>
      <c r="G20" s="13" t="s">
        <v>261</v>
      </c>
    </row>
    <row r="21" customFormat="false" ht="33.75" hidden="false" customHeight="true" outlineLevel="0" collapsed="false">
      <c r="A21" s="40" t="s">
        <v>262</v>
      </c>
      <c r="B21" s="12" t="s">
        <v>263</v>
      </c>
      <c r="C21" s="13" t="s">
        <v>264</v>
      </c>
      <c r="D21" s="13"/>
      <c r="E21" s="13"/>
      <c r="F21" s="13" t="s">
        <v>103</v>
      </c>
      <c r="G21" s="13" t="s">
        <v>265</v>
      </c>
    </row>
    <row r="22" customFormat="false" ht="33.75" hidden="false" customHeight="true" outlineLevel="0" collapsed="false">
      <c r="A22" s="40" t="s">
        <v>266</v>
      </c>
      <c r="B22" s="12" t="s">
        <v>267</v>
      </c>
      <c r="C22" s="13" t="s">
        <v>268</v>
      </c>
      <c r="D22" s="13"/>
      <c r="E22" s="13"/>
      <c r="F22" s="13" t="s">
        <v>103</v>
      </c>
      <c r="G22" s="13" t="s">
        <v>269</v>
      </c>
    </row>
    <row r="23" customFormat="false" ht="33.75" hidden="false" customHeight="true" outlineLevel="0" collapsed="false">
      <c r="A23" s="40" t="s">
        <v>270</v>
      </c>
      <c r="B23" s="12" t="s">
        <v>271</v>
      </c>
      <c r="C23" s="13" t="s">
        <v>272</v>
      </c>
      <c r="D23" s="13"/>
      <c r="E23" s="13"/>
      <c r="F23" s="13" t="s">
        <v>273</v>
      </c>
      <c r="G23" s="13" t="s">
        <v>274</v>
      </c>
    </row>
  </sheetData>
  <mergeCells count="14">
    <mergeCell ref="B12:C12"/>
    <mergeCell ref="D12:E12"/>
    <mergeCell ref="B13:C13"/>
    <mergeCell ref="D13:E13"/>
    <mergeCell ref="B14:C14"/>
    <mergeCell ref="D14:E14"/>
    <mergeCell ref="B15:C15"/>
    <mergeCell ref="D15:E15"/>
    <mergeCell ref="C18:E18"/>
    <mergeCell ref="C19:E19"/>
    <mergeCell ref="C20:E20"/>
    <mergeCell ref="C21:E21"/>
    <mergeCell ref="C22:E22"/>
    <mergeCell ref="C23:E23"/>
  </mergeCells>
  <conditionalFormatting sqref="B6:B9">
    <cfRule type="cellIs" priority="2" operator="equal" aboveAverage="0" equalAverage="0" bottom="0" percent="0" rank="0" text="" dxfId="1">
      <formula>"Critical"</formula>
    </cfRule>
    <cfRule type="cellIs" priority="3" operator="equal" aboveAverage="0" equalAverage="0" bottom="0" percent="0" rank="0" text="" dxfId="3">
      <formula>"High"</formula>
    </cfRule>
    <cfRule type="cellIs" priority="4" operator="equal" aboveAverage="0" equalAverage="0" bottom="0" percent="0" rank="0" text="" dxfId="4">
      <formula>"Medium"</formula>
    </cfRule>
    <cfRule type="cellIs" priority="5" operator="equal" aboveAverage="0" equalAverage="0" bottom="0" percent="0" rank="0" text="" dxfId="2">
      <formula>"Low"</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3" min="3" style="0" width="26"/>
    <col collapsed="false" customWidth="true" hidden="false" outlineLevel="0" max="4" min="4" style="0" width="30"/>
    <col collapsed="false" customWidth="true" hidden="false" outlineLevel="0" max="5" min="5" style="0" width="44"/>
    <col collapsed="false" customWidth="true" hidden="false" outlineLevel="0" max="6" min="6" style="0" width="20"/>
    <col collapsed="false" customWidth="true" hidden="false" outlineLevel="0" max="7" min="7" style="0" width="16"/>
    <col collapsed="false" customWidth="true" hidden="false" outlineLevel="0" max="8" min="8" style="0" width="22"/>
  </cols>
  <sheetData>
    <row r="1" customFormat="false" ht="19.7" hidden="false" customHeight="false" outlineLevel="0" collapsed="false">
      <c r="A1" s="35" t="s">
        <v>275</v>
      </c>
    </row>
    <row r="2" customFormat="false" ht="15" hidden="false" customHeight="false" outlineLevel="0" collapsed="false">
      <c r="A2" s="17" t="s">
        <v>276</v>
      </c>
    </row>
    <row r="3" customFormat="false" ht="15" hidden="false" customHeight="false" outlineLevel="0" collapsed="false">
      <c r="A3" s="36" t="s">
        <v>277</v>
      </c>
    </row>
    <row r="4" customFormat="false" ht="19.5" hidden="false" customHeight="true" outlineLevel="0" collapsed="false">
      <c r="A4" s="8" t="s">
        <v>278</v>
      </c>
      <c r="B4" s="9"/>
      <c r="C4" s="9"/>
      <c r="D4" s="9"/>
      <c r="E4" s="9"/>
      <c r="F4" s="9"/>
      <c r="G4" s="9"/>
      <c r="H4" s="9"/>
    </row>
    <row r="5" customFormat="false" ht="31.5" hidden="false" customHeight="true" outlineLevel="0" collapsed="false">
      <c r="A5" s="37" t="s">
        <v>279</v>
      </c>
      <c r="B5" s="37"/>
      <c r="C5" s="37" t="s">
        <v>280</v>
      </c>
      <c r="D5" s="37" t="s">
        <v>75</v>
      </c>
      <c r="E5" s="37" t="s">
        <v>281</v>
      </c>
      <c r="F5" s="37"/>
      <c r="G5" s="37" t="s">
        <v>282</v>
      </c>
      <c r="H5" s="37"/>
    </row>
    <row r="6" customFormat="false" ht="30" hidden="false" customHeight="true" outlineLevel="0" collapsed="false">
      <c r="A6" s="12" t="s">
        <v>283</v>
      </c>
      <c r="B6" s="12"/>
      <c r="C6" s="14" t="s">
        <v>284</v>
      </c>
      <c r="D6" s="13" t="s">
        <v>103</v>
      </c>
      <c r="E6" s="13" t="s">
        <v>285</v>
      </c>
      <c r="F6" s="13"/>
      <c r="G6" s="34" t="s">
        <v>286</v>
      </c>
      <c r="H6" s="34"/>
    </row>
    <row r="7" customFormat="false" ht="30" hidden="false" customHeight="true" outlineLevel="0" collapsed="false">
      <c r="A7" s="12" t="s">
        <v>287</v>
      </c>
      <c r="B7" s="12"/>
      <c r="C7" s="14" t="s">
        <v>288</v>
      </c>
      <c r="D7" s="13" t="s">
        <v>115</v>
      </c>
      <c r="E7" s="13" t="s">
        <v>289</v>
      </c>
      <c r="F7" s="13"/>
      <c r="G7" s="34" t="s">
        <v>290</v>
      </c>
      <c r="H7" s="34"/>
    </row>
    <row r="8" customFormat="false" ht="30" hidden="false" customHeight="true" outlineLevel="0" collapsed="false">
      <c r="A8" s="12" t="s">
        <v>291</v>
      </c>
      <c r="B8" s="12"/>
      <c r="C8" s="14" t="s">
        <v>292</v>
      </c>
      <c r="D8" s="13" t="s">
        <v>293</v>
      </c>
      <c r="E8" s="13" t="s">
        <v>294</v>
      </c>
      <c r="F8" s="13"/>
      <c r="G8" s="34" t="s">
        <v>295</v>
      </c>
      <c r="H8" s="34"/>
    </row>
    <row r="9" customFormat="false" ht="30" hidden="false" customHeight="true" outlineLevel="0" collapsed="false">
      <c r="A9" s="12" t="s">
        <v>296</v>
      </c>
      <c r="B9" s="12"/>
      <c r="C9" s="14" t="s">
        <v>297</v>
      </c>
      <c r="D9" s="13" t="s">
        <v>298</v>
      </c>
      <c r="E9" s="13" t="s">
        <v>299</v>
      </c>
      <c r="F9" s="13"/>
      <c r="G9" s="34" t="s">
        <v>300</v>
      </c>
      <c r="H9" s="34"/>
    </row>
    <row r="11" customFormat="false" ht="19.5" hidden="false" customHeight="true" outlineLevel="0" collapsed="false">
      <c r="A11" s="8" t="s">
        <v>48</v>
      </c>
      <c r="B11" s="9"/>
      <c r="C11" s="9"/>
      <c r="D11" s="9"/>
      <c r="E11" s="9"/>
      <c r="F11" s="9"/>
      <c r="G11" s="9"/>
      <c r="H11" s="9"/>
    </row>
    <row r="12" customFormat="false" ht="31.5" hidden="false" customHeight="true" outlineLevel="0" collapsed="false">
      <c r="A12" s="37" t="s">
        <v>95</v>
      </c>
      <c r="B12" s="37" t="s">
        <v>301</v>
      </c>
      <c r="C12" s="37" t="s">
        <v>302</v>
      </c>
      <c r="D12" s="37" t="s">
        <v>303</v>
      </c>
      <c r="E12" s="37" t="s">
        <v>304</v>
      </c>
      <c r="F12" s="37" t="s">
        <v>124</v>
      </c>
      <c r="G12" s="37" t="s">
        <v>305</v>
      </c>
      <c r="H12" s="37" t="s">
        <v>306</v>
      </c>
    </row>
    <row r="13" customFormat="false" ht="24" hidden="false" customHeight="true" outlineLevel="0" collapsed="false">
      <c r="A13" s="40" t="s">
        <v>307</v>
      </c>
      <c r="B13" s="14" t="s">
        <v>308</v>
      </c>
      <c r="C13" s="13" t="s">
        <v>309</v>
      </c>
      <c r="D13" s="13" t="s">
        <v>310</v>
      </c>
      <c r="E13" s="13" t="s">
        <v>311</v>
      </c>
      <c r="F13" s="13" t="s">
        <v>156</v>
      </c>
      <c r="G13" s="14" t="s">
        <v>312</v>
      </c>
      <c r="H13" s="13" t="s">
        <v>313</v>
      </c>
    </row>
    <row r="14" customFormat="false" ht="31.5" hidden="false" customHeight="true" outlineLevel="0" collapsed="false">
      <c r="A14" s="40" t="s">
        <v>314</v>
      </c>
      <c r="B14" s="14" t="s">
        <v>315</v>
      </c>
      <c r="C14" s="13" t="s">
        <v>316</v>
      </c>
      <c r="D14" s="13" t="s">
        <v>317</v>
      </c>
      <c r="E14" s="13" t="s">
        <v>318</v>
      </c>
      <c r="F14" s="13" t="s">
        <v>162</v>
      </c>
      <c r="G14" s="14" t="s">
        <v>312</v>
      </c>
      <c r="H14" s="13" t="s">
        <v>313</v>
      </c>
    </row>
    <row r="15" customFormat="false" ht="31.5" hidden="false" customHeight="true" outlineLevel="0" collapsed="false">
      <c r="A15" s="40" t="s">
        <v>319</v>
      </c>
      <c r="B15" s="14" t="s">
        <v>320</v>
      </c>
      <c r="C15" s="13" t="s">
        <v>321</v>
      </c>
      <c r="D15" s="13" t="s">
        <v>322</v>
      </c>
      <c r="E15" s="13" t="s">
        <v>323</v>
      </c>
      <c r="F15" s="13" t="s">
        <v>103</v>
      </c>
      <c r="G15" s="14" t="s">
        <v>324</v>
      </c>
      <c r="H15" s="13" t="s">
        <v>283</v>
      </c>
    </row>
    <row r="16" customFormat="false" ht="31.5" hidden="false" customHeight="true" outlineLevel="0" collapsed="false">
      <c r="A16" s="40" t="s">
        <v>325</v>
      </c>
      <c r="B16" s="14" t="s">
        <v>326</v>
      </c>
      <c r="C16" s="13" t="s">
        <v>327</v>
      </c>
      <c r="D16" s="13" t="s">
        <v>328</v>
      </c>
      <c r="E16" s="13" t="s">
        <v>329</v>
      </c>
      <c r="F16" s="13" t="s">
        <v>103</v>
      </c>
      <c r="G16" s="14" t="s">
        <v>324</v>
      </c>
      <c r="H16" s="13" t="s">
        <v>283</v>
      </c>
    </row>
    <row r="17" customFormat="false" ht="31.5" hidden="false" customHeight="true" outlineLevel="0" collapsed="false">
      <c r="A17" s="40" t="s">
        <v>330</v>
      </c>
      <c r="B17" s="14" t="s">
        <v>331</v>
      </c>
      <c r="C17" s="13" t="s">
        <v>332</v>
      </c>
      <c r="D17" s="13" t="s">
        <v>333</v>
      </c>
      <c r="E17" s="13" t="s">
        <v>334</v>
      </c>
      <c r="F17" s="13" t="s">
        <v>187</v>
      </c>
      <c r="G17" s="14" t="s">
        <v>335</v>
      </c>
      <c r="H17" s="13" t="s">
        <v>287</v>
      </c>
    </row>
    <row r="18" customFormat="false" ht="31.5" hidden="false" customHeight="true" outlineLevel="0" collapsed="false">
      <c r="A18" s="40" t="s">
        <v>336</v>
      </c>
      <c r="B18" s="14" t="s">
        <v>337</v>
      </c>
      <c r="C18" s="13" t="s">
        <v>338</v>
      </c>
      <c r="D18" s="13" t="s">
        <v>339</v>
      </c>
      <c r="E18" s="13" t="s">
        <v>340</v>
      </c>
      <c r="F18" s="13" t="s">
        <v>162</v>
      </c>
      <c r="G18" s="14" t="s">
        <v>335</v>
      </c>
      <c r="H18" s="13" t="s">
        <v>287</v>
      </c>
    </row>
    <row r="19" customFormat="false" ht="31.5" hidden="false" customHeight="true" outlineLevel="0" collapsed="false">
      <c r="A19" s="40" t="s">
        <v>341</v>
      </c>
      <c r="B19" s="14" t="s">
        <v>342</v>
      </c>
      <c r="C19" s="13" t="s">
        <v>343</v>
      </c>
      <c r="D19" s="13" t="s">
        <v>344</v>
      </c>
      <c r="E19" s="13" t="s">
        <v>345</v>
      </c>
      <c r="F19" s="13" t="s">
        <v>115</v>
      </c>
      <c r="G19" s="14" t="s">
        <v>346</v>
      </c>
      <c r="H19" s="13" t="s">
        <v>287</v>
      </c>
    </row>
    <row r="20" customFormat="false" ht="31.5" hidden="false" customHeight="true" outlineLevel="0" collapsed="false">
      <c r="A20" s="40" t="s">
        <v>347</v>
      </c>
      <c r="B20" s="14" t="s">
        <v>348</v>
      </c>
      <c r="C20" s="13" t="s">
        <v>349</v>
      </c>
      <c r="D20" s="13" t="s">
        <v>350</v>
      </c>
      <c r="E20" s="13" t="s">
        <v>351</v>
      </c>
      <c r="F20" s="13" t="s">
        <v>187</v>
      </c>
      <c r="G20" s="14" t="s">
        <v>346</v>
      </c>
      <c r="H20" s="13" t="s">
        <v>291</v>
      </c>
    </row>
    <row r="21" customFormat="false" ht="31.5" hidden="false" customHeight="true" outlineLevel="0" collapsed="false">
      <c r="A21" s="40" t="s">
        <v>352</v>
      </c>
      <c r="B21" s="14" t="s">
        <v>353</v>
      </c>
      <c r="C21" s="13" t="s">
        <v>354</v>
      </c>
      <c r="D21" s="13" t="s">
        <v>355</v>
      </c>
      <c r="E21" s="13" t="s">
        <v>356</v>
      </c>
      <c r="F21" s="13" t="s">
        <v>162</v>
      </c>
      <c r="G21" s="14" t="s">
        <v>357</v>
      </c>
      <c r="H21" s="13" t="s">
        <v>291</v>
      </c>
    </row>
    <row r="22" customFormat="false" ht="31.5" hidden="false" customHeight="true" outlineLevel="0" collapsed="false">
      <c r="A22" s="40" t="s">
        <v>358</v>
      </c>
      <c r="B22" s="14" t="s">
        <v>359</v>
      </c>
      <c r="C22" s="13" t="s">
        <v>360</v>
      </c>
      <c r="D22" s="13" t="s">
        <v>361</v>
      </c>
      <c r="E22" s="13" t="s">
        <v>362</v>
      </c>
      <c r="F22" s="13" t="s">
        <v>273</v>
      </c>
      <c r="G22" s="14" t="s">
        <v>363</v>
      </c>
      <c r="H22" s="13" t="s">
        <v>291</v>
      </c>
    </row>
    <row r="23" customFormat="false" ht="31.5" hidden="false" customHeight="true" outlineLevel="0" collapsed="false">
      <c r="A23" s="40" t="s">
        <v>364</v>
      </c>
      <c r="B23" s="14" t="s">
        <v>365</v>
      </c>
      <c r="C23" s="13" t="s">
        <v>366</v>
      </c>
      <c r="D23" s="13" t="s">
        <v>367</v>
      </c>
      <c r="E23" s="13" t="s">
        <v>368</v>
      </c>
      <c r="F23" s="13" t="s">
        <v>369</v>
      </c>
      <c r="G23" s="14" t="s">
        <v>370</v>
      </c>
      <c r="H23" s="13" t="s">
        <v>291</v>
      </c>
    </row>
    <row r="24" customFormat="false" ht="31.5" hidden="false" customHeight="true" outlineLevel="0" collapsed="false">
      <c r="A24" s="40" t="s">
        <v>371</v>
      </c>
      <c r="B24" s="14" t="s">
        <v>372</v>
      </c>
      <c r="C24" s="13" t="s">
        <v>373</v>
      </c>
      <c r="D24" s="13" t="s">
        <v>374</v>
      </c>
      <c r="E24" s="13" t="s">
        <v>375</v>
      </c>
      <c r="F24" s="13" t="s">
        <v>115</v>
      </c>
      <c r="G24" s="14" t="s">
        <v>357</v>
      </c>
      <c r="H24" s="13" t="s">
        <v>291</v>
      </c>
    </row>
  </sheetData>
  <mergeCells count="15">
    <mergeCell ref="A5:B5"/>
    <mergeCell ref="E5:F5"/>
    <mergeCell ref="G5:H5"/>
    <mergeCell ref="A6:B6"/>
    <mergeCell ref="E6:F6"/>
    <mergeCell ref="G6:H6"/>
    <mergeCell ref="A7:B7"/>
    <mergeCell ref="E7:F7"/>
    <mergeCell ref="G7:H7"/>
    <mergeCell ref="A8:B8"/>
    <mergeCell ref="E8:F8"/>
    <mergeCell ref="G8:H8"/>
    <mergeCell ref="A9:B9"/>
    <mergeCell ref="E9:F9"/>
    <mergeCell ref="G9:H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4" min="2" style="0" width="9"/>
    <col collapsed="false" customWidth="true" hidden="false" outlineLevel="0" max="13" min="5" style="0" width="10"/>
    <col collapsed="false" customWidth="true" hidden="false" outlineLevel="0" max="14" min="14" style="0" width="40"/>
  </cols>
  <sheetData>
    <row r="1" customFormat="false" ht="19.7" hidden="false" customHeight="false" outlineLevel="0" collapsed="false">
      <c r="A1" s="35" t="s">
        <v>376</v>
      </c>
    </row>
    <row r="2" customFormat="false" ht="15" hidden="false" customHeight="false" outlineLevel="0" collapsed="false">
      <c r="A2" s="17" t="s">
        <v>377</v>
      </c>
    </row>
    <row r="3" customFormat="false" ht="15" hidden="false" customHeight="false" outlineLevel="0" collapsed="false">
      <c r="A3" s="36" t="s">
        <v>378</v>
      </c>
    </row>
    <row r="5" customFormat="false" ht="19.5" hidden="false" customHeight="true" outlineLevel="0" collapsed="false">
      <c r="A5" s="8" t="s">
        <v>379</v>
      </c>
      <c r="B5" s="9"/>
      <c r="C5" s="9"/>
      <c r="D5" s="9"/>
      <c r="E5" s="9"/>
      <c r="F5" s="9"/>
      <c r="G5" s="9"/>
      <c r="H5" s="9"/>
      <c r="I5" s="9"/>
      <c r="J5" s="9"/>
      <c r="K5" s="9"/>
      <c r="L5" s="9"/>
      <c r="M5" s="9"/>
      <c r="N5" s="9"/>
    </row>
    <row r="6" customFormat="false" ht="27.75" hidden="false" customHeight="true" outlineLevel="0" collapsed="false">
      <c r="A6" s="37" t="s">
        <v>63</v>
      </c>
      <c r="B6" s="37" t="s">
        <v>301</v>
      </c>
      <c r="C6" s="37" t="s">
        <v>380</v>
      </c>
      <c r="D6" s="37" t="s">
        <v>119</v>
      </c>
      <c r="E6" s="37" t="s">
        <v>381</v>
      </c>
      <c r="F6" s="37" t="s">
        <v>64</v>
      </c>
      <c r="G6" s="37" t="s">
        <v>65</v>
      </c>
      <c r="H6" s="37" t="s">
        <v>66</v>
      </c>
      <c r="I6" s="37" t="s">
        <v>67</v>
      </c>
      <c r="J6" s="37" t="s">
        <v>68</v>
      </c>
      <c r="K6" s="37" t="s">
        <v>69</v>
      </c>
      <c r="L6" s="37" t="s">
        <v>70</v>
      </c>
      <c r="M6" s="37" t="s">
        <v>71</v>
      </c>
      <c r="N6" s="37" t="s">
        <v>382</v>
      </c>
    </row>
    <row r="7" customFormat="false" ht="30" hidden="false" customHeight="true" outlineLevel="0" collapsed="false">
      <c r="A7" s="12" t="s">
        <v>349</v>
      </c>
      <c r="B7" s="14" t="s">
        <v>348</v>
      </c>
      <c r="C7" s="14" t="s">
        <v>383</v>
      </c>
      <c r="D7" s="14" t="s">
        <v>384</v>
      </c>
      <c r="E7" s="44" t="n">
        <v>0</v>
      </c>
      <c r="F7" s="44" t="n">
        <v>0.1</v>
      </c>
      <c r="G7" s="44" t="n">
        <v>0.3</v>
      </c>
      <c r="H7" s="44" t="n">
        <v>0.45</v>
      </c>
      <c r="I7" s="44" t="n">
        <v>0.55</v>
      </c>
      <c r="J7" s="44" t="n">
        <v>0.57</v>
      </c>
      <c r="K7" s="44" t="n">
        <v>0.6</v>
      </c>
      <c r="L7" s="44" t="n">
        <v>0.61</v>
      </c>
      <c r="M7" s="44" t="n">
        <v>0.62</v>
      </c>
      <c r="N7" s="13" t="s">
        <v>385</v>
      </c>
    </row>
    <row r="8" customFormat="false" ht="30" hidden="false" customHeight="true" outlineLevel="0" collapsed="false">
      <c r="A8" s="12" t="s">
        <v>386</v>
      </c>
      <c r="B8" s="14" t="s">
        <v>353</v>
      </c>
      <c r="C8" s="14" t="s">
        <v>387</v>
      </c>
      <c r="D8" s="14" t="s">
        <v>388</v>
      </c>
      <c r="E8" s="45" t="n">
        <v>42</v>
      </c>
      <c r="F8" s="45" t="n">
        <v>40</v>
      </c>
      <c r="G8" s="45" t="n">
        <v>36</v>
      </c>
      <c r="H8" s="45" t="n">
        <v>32</v>
      </c>
      <c r="I8" s="45" t="n">
        <v>29</v>
      </c>
      <c r="J8" s="45" t="n">
        <v>28</v>
      </c>
      <c r="K8" s="45" t="n">
        <v>27</v>
      </c>
      <c r="L8" s="45" t="n">
        <v>26</v>
      </c>
      <c r="M8" s="45" t="n">
        <v>25</v>
      </c>
      <c r="N8" s="13" t="s">
        <v>389</v>
      </c>
    </row>
    <row r="9" customFormat="false" ht="21.75" hidden="false" customHeight="true" outlineLevel="0" collapsed="false">
      <c r="A9" s="12" t="s">
        <v>338</v>
      </c>
      <c r="B9" s="14" t="s">
        <v>337</v>
      </c>
      <c r="C9" s="14" t="s">
        <v>383</v>
      </c>
      <c r="D9" s="14" t="s">
        <v>384</v>
      </c>
      <c r="E9" s="44" t="n">
        <v>0.78</v>
      </c>
      <c r="F9" s="44" t="n">
        <v>0.82</v>
      </c>
      <c r="G9" s="44" t="n">
        <v>0.86</v>
      </c>
      <c r="H9" s="44" t="n">
        <v>0.89</v>
      </c>
      <c r="I9" s="44" t="n">
        <v>0.91</v>
      </c>
      <c r="J9" s="44" t="n">
        <v>0.92</v>
      </c>
      <c r="K9" s="44" t="n">
        <v>0.93</v>
      </c>
      <c r="L9" s="44" t="n">
        <v>0.94</v>
      </c>
      <c r="M9" s="44" t="n">
        <v>0.95</v>
      </c>
      <c r="N9" s="13"/>
    </row>
    <row r="10" customFormat="false" ht="21.75" hidden="false" customHeight="true" outlineLevel="0" collapsed="false">
      <c r="A10" s="12" t="s">
        <v>390</v>
      </c>
      <c r="B10" s="14" t="s">
        <v>163</v>
      </c>
      <c r="C10" s="14" t="s">
        <v>383</v>
      </c>
      <c r="D10" s="14" t="s">
        <v>388</v>
      </c>
      <c r="E10" s="44" t="n">
        <v>0.09</v>
      </c>
      <c r="F10" s="44" t="n">
        <v>0.085</v>
      </c>
      <c r="G10" s="44" t="n">
        <v>0.07</v>
      </c>
      <c r="H10" s="44" t="n">
        <v>0.06</v>
      </c>
      <c r="I10" s="44" t="n">
        <v>0.05</v>
      </c>
      <c r="J10" s="44" t="n">
        <v>0.045</v>
      </c>
      <c r="K10" s="44" t="n">
        <v>0.04</v>
      </c>
      <c r="L10" s="44" t="n">
        <v>0.035</v>
      </c>
      <c r="M10" s="44" t="n">
        <v>0.03</v>
      </c>
      <c r="N10" s="13"/>
    </row>
    <row r="11" customFormat="false" ht="30" hidden="false" customHeight="true" outlineLevel="0" collapsed="false">
      <c r="A11" s="12" t="s">
        <v>391</v>
      </c>
      <c r="B11" s="14" t="s">
        <v>392</v>
      </c>
      <c r="C11" s="14" t="s">
        <v>393</v>
      </c>
      <c r="D11" s="14" t="s">
        <v>388</v>
      </c>
      <c r="E11" s="46" t="n">
        <v>14</v>
      </c>
      <c r="F11" s="46" t="n">
        <v>14</v>
      </c>
      <c r="G11" s="46" t="n">
        <v>12.5</v>
      </c>
      <c r="H11" s="46" t="n">
        <v>11</v>
      </c>
      <c r="I11" s="46" t="n">
        <v>10</v>
      </c>
      <c r="J11" s="46" t="n">
        <v>9.5</v>
      </c>
      <c r="K11" s="46" t="n">
        <v>9</v>
      </c>
      <c r="L11" s="46" t="n">
        <v>8.5</v>
      </c>
      <c r="M11" s="46" t="n">
        <v>8</v>
      </c>
      <c r="N11" s="13" t="s">
        <v>394</v>
      </c>
    </row>
    <row r="12" customFormat="false" ht="30" hidden="false" customHeight="true" outlineLevel="0" collapsed="false">
      <c r="A12" s="12" t="s">
        <v>395</v>
      </c>
      <c r="B12" s="14" t="s">
        <v>396</v>
      </c>
      <c r="C12" s="14" t="s">
        <v>383</v>
      </c>
      <c r="D12" s="14" t="s">
        <v>384</v>
      </c>
      <c r="E12" s="44" t="n">
        <v>0.38</v>
      </c>
      <c r="F12" s="44" t="n">
        <v>0.38</v>
      </c>
      <c r="G12" s="44" t="n">
        <v>0.395</v>
      </c>
      <c r="H12" s="44" t="n">
        <v>0.41</v>
      </c>
      <c r="I12" s="44" t="n">
        <v>0.42</v>
      </c>
      <c r="J12" s="44" t="n">
        <v>0.43</v>
      </c>
      <c r="K12" s="44" t="n">
        <v>0.44</v>
      </c>
      <c r="L12" s="44" t="n">
        <v>0.445</v>
      </c>
      <c r="M12" s="44" t="n">
        <v>0.45</v>
      </c>
      <c r="N12" s="13" t="s">
        <v>397</v>
      </c>
    </row>
    <row r="14" customFormat="false" ht="19.5" hidden="false" customHeight="true" outlineLevel="0" collapsed="false">
      <c r="A14" s="8" t="s">
        <v>398</v>
      </c>
      <c r="B14" s="9"/>
      <c r="C14" s="9"/>
      <c r="D14" s="9"/>
      <c r="E14" s="9"/>
      <c r="F14" s="9"/>
      <c r="G14" s="9"/>
      <c r="H14" s="9"/>
      <c r="I14" s="9"/>
      <c r="J14" s="9"/>
      <c r="K14" s="9"/>
      <c r="L14" s="9"/>
      <c r="M14" s="9"/>
      <c r="N14" s="9"/>
    </row>
    <row r="15" customFormat="false" ht="27.75" hidden="false" customHeight="true" outlineLevel="0" collapsed="false">
      <c r="A15" s="37" t="s">
        <v>63</v>
      </c>
      <c r="B15" s="37" t="s">
        <v>301</v>
      </c>
      <c r="C15" s="37" t="s">
        <v>380</v>
      </c>
      <c r="D15" s="37" t="s">
        <v>119</v>
      </c>
      <c r="E15" s="37" t="s">
        <v>381</v>
      </c>
      <c r="F15" s="37" t="s">
        <v>64</v>
      </c>
      <c r="G15" s="37" t="s">
        <v>65</v>
      </c>
      <c r="H15" s="37" t="s">
        <v>66</v>
      </c>
      <c r="I15" s="37" t="s">
        <v>67</v>
      </c>
      <c r="J15" s="37" t="s">
        <v>68</v>
      </c>
      <c r="K15" s="37" t="s">
        <v>69</v>
      </c>
      <c r="L15" s="37" t="s">
        <v>70</v>
      </c>
      <c r="M15" s="37" t="s">
        <v>71</v>
      </c>
      <c r="N15" s="37" t="s">
        <v>382</v>
      </c>
    </row>
    <row r="16" customFormat="false" ht="21.75" hidden="false" customHeight="true" outlineLevel="0" collapsed="false">
      <c r="A16" s="12" t="s">
        <v>349</v>
      </c>
      <c r="B16" s="14" t="s">
        <v>348</v>
      </c>
      <c r="C16" s="14" t="s">
        <v>383</v>
      </c>
      <c r="D16" s="14" t="s">
        <v>384</v>
      </c>
      <c r="E16" s="47" t="n">
        <f aca="false">E7</f>
        <v>0</v>
      </c>
      <c r="F16" s="44"/>
      <c r="G16" s="44"/>
      <c r="H16" s="44"/>
      <c r="I16" s="44"/>
      <c r="J16" s="44"/>
      <c r="K16" s="44"/>
      <c r="L16" s="44"/>
      <c r="M16" s="44"/>
      <c r="N16" s="13"/>
    </row>
    <row r="17" customFormat="false" ht="21.75" hidden="false" customHeight="true" outlineLevel="0" collapsed="false">
      <c r="A17" s="12" t="s">
        <v>386</v>
      </c>
      <c r="B17" s="14" t="s">
        <v>353</v>
      </c>
      <c r="C17" s="14" t="s">
        <v>387</v>
      </c>
      <c r="D17" s="14" t="s">
        <v>388</v>
      </c>
      <c r="E17" s="48" t="n">
        <f aca="false">E8</f>
        <v>42</v>
      </c>
      <c r="F17" s="45"/>
      <c r="G17" s="45"/>
      <c r="H17" s="45"/>
      <c r="I17" s="45"/>
      <c r="J17" s="45"/>
      <c r="K17" s="45"/>
      <c r="L17" s="45"/>
      <c r="M17" s="45"/>
      <c r="N17" s="13"/>
    </row>
    <row r="18" customFormat="false" ht="21.75" hidden="false" customHeight="true" outlineLevel="0" collapsed="false">
      <c r="A18" s="12" t="s">
        <v>338</v>
      </c>
      <c r="B18" s="14" t="s">
        <v>337</v>
      </c>
      <c r="C18" s="14" t="s">
        <v>383</v>
      </c>
      <c r="D18" s="14" t="s">
        <v>384</v>
      </c>
      <c r="E18" s="47" t="n">
        <f aca="false">E9</f>
        <v>0.78</v>
      </c>
      <c r="F18" s="44"/>
      <c r="G18" s="44"/>
      <c r="H18" s="44"/>
      <c r="I18" s="44"/>
      <c r="J18" s="44"/>
      <c r="K18" s="44"/>
      <c r="L18" s="44"/>
      <c r="M18" s="44"/>
      <c r="N18" s="13"/>
    </row>
    <row r="19" customFormat="false" ht="21.75" hidden="false" customHeight="true" outlineLevel="0" collapsed="false">
      <c r="A19" s="12" t="s">
        <v>390</v>
      </c>
      <c r="B19" s="14" t="s">
        <v>163</v>
      </c>
      <c r="C19" s="14" t="s">
        <v>383</v>
      </c>
      <c r="D19" s="14" t="s">
        <v>388</v>
      </c>
      <c r="E19" s="47" t="n">
        <f aca="false">E10</f>
        <v>0.09</v>
      </c>
      <c r="F19" s="44"/>
      <c r="G19" s="44"/>
      <c r="H19" s="44"/>
      <c r="I19" s="44"/>
      <c r="J19" s="44"/>
      <c r="K19" s="44"/>
      <c r="L19" s="44"/>
      <c r="M19" s="44"/>
      <c r="N19" s="13"/>
    </row>
    <row r="20" customFormat="false" ht="21.75" hidden="false" customHeight="true" outlineLevel="0" collapsed="false">
      <c r="A20" s="12" t="s">
        <v>391</v>
      </c>
      <c r="B20" s="14" t="s">
        <v>392</v>
      </c>
      <c r="C20" s="14" t="s">
        <v>393</v>
      </c>
      <c r="D20" s="14" t="s">
        <v>388</v>
      </c>
      <c r="E20" s="49" t="n">
        <f aca="false">E11</f>
        <v>14</v>
      </c>
      <c r="F20" s="46"/>
      <c r="G20" s="46"/>
      <c r="H20" s="46"/>
      <c r="I20" s="46"/>
      <c r="J20" s="46"/>
      <c r="K20" s="46"/>
      <c r="L20" s="46"/>
      <c r="M20" s="46"/>
      <c r="N20" s="13"/>
    </row>
    <row r="21" customFormat="false" ht="21.75" hidden="false" customHeight="true" outlineLevel="0" collapsed="false">
      <c r="A21" s="12" t="s">
        <v>395</v>
      </c>
      <c r="B21" s="14" t="s">
        <v>396</v>
      </c>
      <c r="C21" s="14" t="s">
        <v>383</v>
      </c>
      <c r="D21" s="14" t="s">
        <v>384</v>
      </c>
      <c r="E21" s="47" t="n">
        <f aca="false">E12</f>
        <v>0.38</v>
      </c>
      <c r="F21" s="44"/>
      <c r="G21" s="44"/>
      <c r="H21" s="44"/>
      <c r="I21" s="44"/>
      <c r="J21" s="44"/>
      <c r="K21" s="44"/>
      <c r="L21" s="44"/>
      <c r="M21" s="44"/>
      <c r="N21" s="13"/>
    </row>
    <row r="23" customFormat="false" ht="19.5" hidden="false" customHeight="true" outlineLevel="0" collapsed="false">
      <c r="A23" s="8" t="s">
        <v>122</v>
      </c>
      <c r="B23" s="9"/>
      <c r="C23" s="9"/>
      <c r="D23" s="9"/>
      <c r="E23" s="9"/>
      <c r="F23" s="9"/>
      <c r="G23" s="9"/>
      <c r="H23" s="9"/>
      <c r="I23" s="9"/>
      <c r="J23" s="9"/>
      <c r="K23" s="9"/>
      <c r="L23" s="9"/>
      <c r="M23" s="9"/>
      <c r="N23" s="9"/>
    </row>
    <row r="24" customFormat="false" ht="27.75" hidden="false" customHeight="true" outlineLevel="0" collapsed="false">
      <c r="A24" s="37" t="s">
        <v>63</v>
      </c>
      <c r="B24" s="37" t="s">
        <v>301</v>
      </c>
      <c r="C24" s="37" t="s">
        <v>380</v>
      </c>
      <c r="D24" s="37" t="s">
        <v>119</v>
      </c>
      <c r="E24" s="37" t="s">
        <v>381</v>
      </c>
      <c r="F24" s="37" t="s">
        <v>64</v>
      </c>
      <c r="G24" s="37" t="s">
        <v>65</v>
      </c>
      <c r="H24" s="37" t="s">
        <v>66</v>
      </c>
      <c r="I24" s="37" t="s">
        <v>67</v>
      </c>
      <c r="J24" s="37" t="s">
        <v>68</v>
      </c>
      <c r="K24" s="37" t="s">
        <v>69</v>
      </c>
      <c r="L24" s="37" t="s">
        <v>70</v>
      </c>
      <c r="M24" s="37" t="s">
        <v>71</v>
      </c>
      <c r="N24" s="37" t="s">
        <v>382</v>
      </c>
    </row>
    <row r="25" customFormat="false" ht="21.75" hidden="false" customHeight="true" outlineLevel="0" collapsed="false">
      <c r="A25" s="12" t="s">
        <v>349</v>
      </c>
      <c r="B25" s="14" t="s">
        <v>348</v>
      </c>
      <c r="C25" s="14" t="s">
        <v>383</v>
      </c>
      <c r="D25" s="14" t="s">
        <v>384</v>
      </c>
      <c r="E25" s="47" t="n">
        <f aca="false">E7</f>
        <v>0</v>
      </c>
      <c r="F25" s="42" t="str">
        <f aca="false">IF(F16="","–",IF($D25="Higher",IF(F16&gt;=F7,"On track",IF(F16&gt;=F7*0.9,"Watch","Off track")),IF(F16&lt;=F7,"On track",IF(F16&lt;=F7*1.1,"Watch","Off track"))))</f>
        <v>–</v>
      </c>
      <c r="G25" s="42" t="str">
        <f aca="false">IF(G16="","–",IF($D25="Higher",IF(G16&gt;=G7,"On track",IF(G16&gt;=G7*0.9,"Watch","Off track")),IF(G16&lt;=G7,"On track",IF(G16&lt;=G7*1.1,"Watch","Off track"))))</f>
        <v>–</v>
      </c>
      <c r="H25" s="42" t="str">
        <f aca="false">IF(H16="","–",IF($D25="Higher",IF(H16&gt;=H7,"On track",IF(H16&gt;=H7*0.9,"Watch","Off track")),IF(H16&lt;=H7,"On track",IF(H16&lt;=H7*1.1,"Watch","Off track"))))</f>
        <v>–</v>
      </c>
      <c r="I25" s="42" t="str">
        <f aca="false">IF(I16="","–",IF($D25="Higher",IF(I16&gt;=I7,"On track",IF(I16&gt;=I7*0.9,"Watch","Off track")),IF(I16&lt;=I7,"On track",IF(I16&lt;=I7*1.1,"Watch","Off track"))))</f>
        <v>–</v>
      </c>
      <c r="J25" s="42" t="str">
        <f aca="false">IF(J16="","–",IF($D25="Higher",IF(J16&gt;=J7,"On track",IF(J16&gt;=J7*0.9,"Watch","Off track")),IF(J16&lt;=J7,"On track",IF(J16&lt;=J7*1.1,"Watch","Off track"))))</f>
        <v>–</v>
      </c>
      <c r="K25" s="42" t="str">
        <f aca="false">IF(K16="","–",IF($D25="Higher",IF(K16&gt;=K7,"On track",IF(K16&gt;=K7*0.9,"Watch","Off track")),IF(K16&lt;=K7,"On track",IF(K16&lt;=K7*1.1,"Watch","Off track"))))</f>
        <v>–</v>
      </c>
      <c r="L25" s="42" t="str">
        <f aca="false">IF(L16="","–",IF($D25="Higher",IF(L16&gt;=L7,"On track",IF(L16&gt;=L7*0.9,"Watch","Off track")),IF(L16&lt;=L7,"On track",IF(L16&lt;=L7*1.1,"Watch","Off track"))))</f>
        <v>–</v>
      </c>
      <c r="M25" s="42" t="str">
        <f aca="false">IF(M16="","–",IF($D25="Higher",IF(M16&gt;=M7,"On track",IF(M16&gt;=M7*0.9,"Watch","Off track")),IF(M16&lt;=M7,"On track",IF(M16&lt;=M7*1.1,"Watch","Off track"))))</f>
        <v>–</v>
      </c>
      <c r="N25" s="13"/>
    </row>
    <row r="26" customFormat="false" ht="21.75" hidden="false" customHeight="true" outlineLevel="0" collapsed="false">
      <c r="A26" s="12" t="s">
        <v>386</v>
      </c>
      <c r="B26" s="14" t="s">
        <v>353</v>
      </c>
      <c r="C26" s="14" t="s">
        <v>387</v>
      </c>
      <c r="D26" s="14" t="s">
        <v>388</v>
      </c>
      <c r="E26" s="48" t="n">
        <f aca="false">E8</f>
        <v>42</v>
      </c>
      <c r="F26" s="42" t="str">
        <f aca="false">IF(F17="","–",IF($D26="Higher",IF(F17&gt;=F8,"On track",IF(F17&gt;=F8*0.9,"Watch","Off track")),IF(F17&lt;=F8,"On track",IF(F17&lt;=F8*1.1,"Watch","Off track"))))</f>
        <v>–</v>
      </c>
      <c r="G26" s="42" t="str">
        <f aca="false">IF(G17="","–",IF($D26="Higher",IF(G17&gt;=G8,"On track",IF(G17&gt;=G8*0.9,"Watch","Off track")),IF(G17&lt;=G8,"On track",IF(G17&lt;=G8*1.1,"Watch","Off track"))))</f>
        <v>–</v>
      </c>
      <c r="H26" s="42" t="str">
        <f aca="false">IF(H17="","–",IF($D26="Higher",IF(H17&gt;=H8,"On track",IF(H17&gt;=H8*0.9,"Watch","Off track")),IF(H17&lt;=H8,"On track",IF(H17&lt;=H8*1.1,"Watch","Off track"))))</f>
        <v>–</v>
      </c>
      <c r="I26" s="42" t="str">
        <f aca="false">IF(I17="","–",IF($D26="Higher",IF(I17&gt;=I8,"On track",IF(I17&gt;=I8*0.9,"Watch","Off track")),IF(I17&lt;=I8,"On track",IF(I17&lt;=I8*1.1,"Watch","Off track"))))</f>
        <v>–</v>
      </c>
      <c r="J26" s="42" t="str">
        <f aca="false">IF(J17="","–",IF($D26="Higher",IF(J17&gt;=J8,"On track",IF(J17&gt;=J8*0.9,"Watch","Off track")),IF(J17&lt;=J8,"On track",IF(J17&lt;=J8*1.1,"Watch","Off track"))))</f>
        <v>–</v>
      </c>
      <c r="K26" s="42" t="str">
        <f aca="false">IF(K17="","–",IF($D26="Higher",IF(K17&gt;=K8,"On track",IF(K17&gt;=K8*0.9,"Watch","Off track")),IF(K17&lt;=K8,"On track",IF(K17&lt;=K8*1.1,"Watch","Off track"))))</f>
        <v>–</v>
      </c>
      <c r="L26" s="42" t="str">
        <f aca="false">IF(L17="","–",IF($D26="Higher",IF(L17&gt;=L8,"On track",IF(L17&gt;=L8*0.9,"Watch","Off track")),IF(L17&lt;=L8,"On track",IF(L17&lt;=L8*1.1,"Watch","Off track"))))</f>
        <v>–</v>
      </c>
      <c r="M26" s="42" t="str">
        <f aca="false">IF(M17="","–",IF($D26="Higher",IF(M17&gt;=M8,"On track",IF(M17&gt;=M8*0.9,"Watch","Off track")),IF(M17&lt;=M8,"On track",IF(M17&lt;=M8*1.1,"Watch","Off track"))))</f>
        <v>–</v>
      </c>
      <c r="N26" s="13"/>
    </row>
    <row r="27" customFormat="false" ht="21.75" hidden="false" customHeight="true" outlineLevel="0" collapsed="false">
      <c r="A27" s="12" t="s">
        <v>338</v>
      </c>
      <c r="B27" s="14" t="s">
        <v>337</v>
      </c>
      <c r="C27" s="14" t="s">
        <v>383</v>
      </c>
      <c r="D27" s="14" t="s">
        <v>384</v>
      </c>
      <c r="E27" s="47" t="n">
        <f aca="false">E9</f>
        <v>0.78</v>
      </c>
      <c r="F27" s="42" t="str">
        <f aca="false">IF(F18="","–",IF($D27="Higher",IF(F18&gt;=F9,"On track",IF(F18&gt;=F9*0.9,"Watch","Off track")),IF(F18&lt;=F9,"On track",IF(F18&lt;=F9*1.1,"Watch","Off track"))))</f>
        <v>–</v>
      </c>
      <c r="G27" s="42" t="str">
        <f aca="false">IF(G18="","–",IF($D27="Higher",IF(G18&gt;=G9,"On track",IF(G18&gt;=G9*0.9,"Watch","Off track")),IF(G18&lt;=G9,"On track",IF(G18&lt;=G9*1.1,"Watch","Off track"))))</f>
        <v>–</v>
      </c>
      <c r="H27" s="42" t="str">
        <f aca="false">IF(H18="","–",IF($D27="Higher",IF(H18&gt;=H9,"On track",IF(H18&gt;=H9*0.9,"Watch","Off track")),IF(H18&lt;=H9,"On track",IF(H18&lt;=H9*1.1,"Watch","Off track"))))</f>
        <v>–</v>
      </c>
      <c r="I27" s="42" t="str">
        <f aca="false">IF(I18="","–",IF($D27="Higher",IF(I18&gt;=I9,"On track",IF(I18&gt;=I9*0.9,"Watch","Off track")),IF(I18&lt;=I9,"On track",IF(I18&lt;=I9*1.1,"Watch","Off track"))))</f>
        <v>–</v>
      </c>
      <c r="J27" s="42" t="str">
        <f aca="false">IF(J18="","–",IF($D27="Higher",IF(J18&gt;=J9,"On track",IF(J18&gt;=J9*0.9,"Watch","Off track")),IF(J18&lt;=J9,"On track",IF(J18&lt;=J9*1.1,"Watch","Off track"))))</f>
        <v>–</v>
      </c>
      <c r="K27" s="42" t="str">
        <f aca="false">IF(K18="","–",IF($D27="Higher",IF(K18&gt;=K9,"On track",IF(K18&gt;=K9*0.9,"Watch","Off track")),IF(K18&lt;=K9,"On track",IF(K18&lt;=K9*1.1,"Watch","Off track"))))</f>
        <v>–</v>
      </c>
      <c r="L27" s="42" t="str">
        <f aca="false">IF(L18="","–",IF($D27="Higher",IF(L18&gt;=L9,"On track",IF(L18&gt;=L9*0.9,"Watch","Off track")),IF(L18&lt;=L9,"On track",IF(L18&lt;=L9*1.1,"Watch","Off track"))))</f>
        <v>–</v>
      </c>
      <c r="M27" s="42" t="str">
        <f aca="false">IF(M18="","–",IF($D27="Higher",IF(M18&gt;=M9,"On track",IF(M18&gt;=M9*0.9,"Watch","Off track")),IF(M18&lt;=M9,"On track",IF(M18&lt;=M9*1.1,"Watch","Off track"))))</f>
        <v>–</v>
      </c>
      <c r="N27" s="13"/>
    </row>
    <row r="28" customFormat="false" ht="21.75" hidden="false" customHeight="true" outlineLevel="0" collapsed="false">
      <c r="A28" s="12" t="s">
        <v>390</v>
      </c>
      <c r="B28" s="14" t="s">
        <v>163</v>
      </c>
      <c r="C28" s="14" t="s">
        <v>383</v>
      </c>
      <c r="D28" s="14" t="s">
        <v>388</v>
      </c>
      <c r="E28" s="47" t="n">
        <f aca="false">E10</f>
        <v>0.09</v>
      </c>
      <c r="F28" s="42" t="str">
        <f aca="false">IF(F19="","–",IF($D28="Higher",IF(F19&gt;=F10,"On track",IF(F19&gt;=F10*0.9,"Watch","Off track")),IF(F19&lt;=F10,"On track",IF(F19&lt;=F10*1.1,"Watch","Off track"))))</f>
        <v>–</v>
      </c>
      <c r="G28" s="42" t="str">
        <f aca="false">IF(G19="","–",IF($D28="Higher",IF(G19&gt;=G10,"On track",IF(G19&gt;=G10*0.9,"Watch","Off track")),IF(G19&lt;=G10,"On track",IF(G19&lt;=G10*1.1,"Watch","Off track"))))</f>
        <v>–</v>
      </c>
      <c r="H28" s="42" t="str">
        <f aca="false">IF(H19="","–",IF($D28="Higher",IF(H19&gt;=H10,"On track",IF(H19&gt;=H10*0.9,"Watch","Off track")),IF(H19&lt;=H10,"On track",IF(H19&lt;=H10*1.1,"Watch","Off track"))))</f>
        <v>–</v>
      </c>
      <c r="I28" s="42" t="str">
        <f aca="false">IF(I19="","–",IF($D28="Higher",IF(I19&gt;=I10,"On track",IF(I19&gt;=I10*0.9,"Watch","Off track")),IF(I19&lt;=I10,"On track",IF(I19&lt;=I10*1.1,"Watch","Off track"))))</f>
        <v>–</v>
      </c>
      <c r="J28" s="42" t="str">
        <f aca="false">IF(J19="","–",IF($D28="Higher",IF(J19&gt;=J10,"On track",IF(J19&gt;=J10*0.9,"Watch","Off track")),IF(J19&lt;=J10,"On track",IF(J19&lt;=J10*1.1,"Watch","Off track"))))</f>
        <v>–</v>
      </c>
      <c r="K28" s="42" t="str">
        <f aca="false">IF(K19="","–",IF($D28="Higher",IF(K19&gt;=K10,"On track",IF(K19&gt;=K10*0.9,"Watch","Off track")),IF(K19&lt;=K10,"On track",IF(K19&lt;=K10*1.1,"Watch","Off track"))))</f>
        <v>–</v>
      </c>
      <c r="L28" s="42" t="str">
        <f aca="false">IF(L19="","–",IF($D28="Higher",IF(L19&gt;=L10,"On track",IF(L19&gt;=L10*0.9,"Watch","Off track")),IF(L19&lt;=L10,"On track",IF(L19&lt;=L10*1.1,"Watch","Off track"))))</f>
        <v>–</v>
      </c>
      <c r="M28" s="42" t="str">
        <f aca="false">IF(M19="","–",IF($D28="Higher",IF(M19&gt;=M10,"On track",IF(M19&gt;=M10*0.9,"Watch","Off track")),IF(M19&lt;=M10,"On track",IF(M19&lt;=M10*1.1,"Watch","Off track"))))</f>
        <v>–</v>
      </c>
      <c r="N28" s="13"/>
    </row>
    <row r="29" customFormat="false" ht="21.75" hidden="false" customHeight="true" outlineLevel="0" collapsed="false">
      <c r="A29" s="12" t="s">
        <v>391</v>
      </c>
      <c r="B29" s="14" t="s">
        <v>392</v>
      </c>
      <c r="C29" s="14" t="s">
        <v>393</v>
      </c>
      <c r="D29" s="14" t="s">
        <v>388</v>
      </c>
      <c r="E29" s="49" t="n">
        <f aca="false">E11</f>
        <v>14</v>
      </c>
      <c r="F29" s="42" t="str">
        <f aca="false">IF(F20="","–",IF($D29="Higher",IF(F20&gt;=F11,"On track",IF(F20&gt;=F11*0.9,"Watch","Off track")),IF(F20&lt;=F11,"On track",IF(F20&lt;=F11*1.1,"Watch","Off track"))))</f>
        <v>–</v>
      </c>
      <c r="G29" s="42" t="str">
        <f aca="false">IF(G20="","–",IF($D29="Higher",IF(G20&gt;=G11,"On track",IF(G20&gt;=G11*0.9,"Watch","Off track")),IF(G20&lt;=G11,"On track",IF(G20&lt;=G11*1.1,"Watch","Off track"))))</f>
        <v>–</v>
      </c>
      <c r="H29" s="42" t="str">
        <f aca="false">IF(H20="","–",IF($D29="Higher",IF(H20&gt;=H11,"On track",IF(H20&gt;=H11*0.9,"Watch","Off track")),IF(H20&lt;=H11,"On track",IF(H20&lt;=H11*1.1,"Watch","Off track"))))</f>
        <v>–</v>
      </c>
      <c r="I29" s="42" t="str">
        <f aca="false">IF(I20="","–",IF($D29="Higher",IF(I20&gt;=I11,"On track",IF(I20&gt;=I11*0.9,"Watch","Off track")),IF(I20&lt;=I11,"On track",IF(I20&lt;=I11*1.1,"Watch","Off track"))))</f>
        <v>–</v>
      </c>
      <c r="J29" s="42" t="str">
        <f aca="false">IF(J20="","–",IF($D29="Higher",IF(J20&gt;=J11,"On track",IF(J20&gt;=J11*0.9,"Watch","Off track")),IF(J20&lt;=J11,"On track",IF(J20&lt;=J11*1.1,"Watch","Off track"))))</f>
        <v>–</v>
      </c>
      <c r="K29" s="42" t="str">
        <f aca="false">IF(K20="","–",IF($D29="Higher",IF(K20&gt;=K11,"On track",IF(K20&gt;=K11*0.9,"Watch","Off track")),IF(K20&lt;=K11,"On track",IF(K20&lt;=K11*1.1,"Watch","Off track"))))</f>
        <v>–</v>
      </c>
      <c r="L29" s="42" t="str">
        <f aca="false">IF(L20="","–",IF($D29="Higher",IF(L20&gt;=L11,"On track",IF(L20&gt;=L11*0.9,"Watch","Off track")),IF(L20&lt;=L11,"On track",IF(L20&lt;=L11*1.1,"Watch","Off track"))))</f>
        <v>–</v>
      </c>
      <c r="M29" s="42" t="str">
        <f aca="false">IF(M20="","–",IF($D29="Higher",IF(M20&gt;=M11,"On track",IF(M20&gt;=M11*0.9,"Watch","Off track")),IF(M20&lt;=M11,"On track",IF(M20&lt;=M11*1.1,"Watch","Off track"))))</f>
        <v>–</v>
      </c>
      <c r="N29" s="13"/>
    </row>
    <row r="30" customFormat="false" ht="21.75" hidden="false" customHeight="true" outlineLevel="0" collapsed="false">
      <c r="A30" s="12" t="s">
        <v>395</v>
      </c>
      <c r="B30" s="14" t="s">
        <v>396</v>
      </c>
      <c r="C30" s="14" t="s">
        <v>383</v>
      </c>
      <c r="D30" s="14" t="s">
        <v>384</v>
      </c>
      <c r="E30" s="47" t="n">
        <f aca="false">E12</f>
        <v>0.38</v>
      </c>
      <c r="F30" s="42" t="str">
        <f aca="false">IF(F21="","–",IF($D30="Higher",IF(F21&gt;=F12,"On track",IF(F21&gt;=F12*0.9,"Watch","Off track")),IF(F21&lt;=F12,"On track",IF(F21&lt;=F12*1.1,"Watch","Off track"))))</f>
        <v>–</v>
      </c>
      <c r="G30" s="42" t="str">
        <f aca="false">IF(G21="","–",IF($D30="Higher",IF(G21&gt;=G12,"On track",IF(G21&gt;=G12*0.9,"Watch","Off track")),IF(G21&lt;=G12,"On track",IF(G21&lt;=G12*1.1,"Watch","Off track"))))</f>
        <v>–</v>
      </c>
      <c r="H30" s="42" t="str">
        <f aca="false">IF(H21="","–",IF($D30="Higher",IF(H21&gt;=H12,"On track",IF(H21&gt;=H12*0.9,"Watch","Off track")),IF(H21&lt;=H12,"On track",IF(H21&lt;=H12*1.1,"Watch","Off track"))))</f>
        <v>–</v>
      </c>
      <c r="I30" s="42" t="str">
        <f aca="false">IF(I21="","–",IF($D30="Higher",IF(I21&gt;=I12,"On track",IF(I21&gt;=I12*0.9,"Watch","Off track")),IF(I21&lt;=I12,"On track",IF(I21&lt;=I12*1.1,"Watch","Off track"))))</f>
        <v>–</v>
      </c>
      <c r="J30" s="42" t="str">
        <f aca="false">IF(J21="","–",IF($D30="Higher",IF(J21&gt;=J12,"On track",IF(J21&gt;=J12*0.9,"Watch","Off track")),IF(J21&lt;=J12,"On track",IF(J21&lt;=J12*1.1,"Watch","Off track"))))</f>
        <v>–</v>
      </c>
      <c r="K30" s="42" t="str">
        <f aca="false">IF(K21="","–",IF($D30="Higher",IF(K21&gt;=K12,"On track",IF(K21&gt;=K12*0.9,"Watch","Off track")),IF(K21&lt;=K12,"On track",IF(K21&lt;=K12*1.1,"Watch","Off track"))))</f>
        <v>–</v>
      </c>
      <c r="L30" s="42" t="str">
        <f aca="false">IF(L21="","–",IF($D30="Higher",IF(L21&gt;=L12,"On track",IF(L21&gt;=L12*0.9,"Watch","Off track")),IF(L21&lt;=L12,"On track",IF(L21&lt;=L12*1.1,"Watch","Off track"))))</f>
        <v>–</v>
      </c>
      <c r="M30" s="42" t="str">
        <f aca="false">IF(M21="","–",IF($D30="Higher",IF(M21&gt;=M12,"On track",IF(M21&gt;=M12*0.9,"Watch","Off track")),IF(M21&lt;=M12,"On track",IF(M21&lt;=M12*1.1,"Watch","Off track"))))</f>
        <v>–</v>
      </c>
      <c r="N30" s="13"/>
    </row>
    <row r="32" customFormat="false" ht="15" hidden="false" customHeight="false" outlineLevel="0" collapsed="false">
      <c r="A32" s="8" t="s">
        <v>399</v>
      </c>
      <c r="B32" s="9"/>
      <c r="C32" s="9"/>
      <c r="D32" s="9"/>
      <c r="E32" s="9"/>
      <c r="F32" s="9"/>
      <c r="G32" s="9"/>
      <c r="H32" s="9"/>
      <c r="I32" s="9"/>
      <c r="J32" s="9"/>
      <c r="K32" s="9"/>
      <c r="L32" s="9"/>
      <c r="M32" s="9"/>
      <c r="N32" s="9"/>
    </row>
    <row r="33" customFormat="false" ht="27.75" hidden="false" customHeight="true" outlineLevel="0" collapsed="false">
      <c r="A33" s="37" t="s">
        <v>400</v>
      </c>
      <c r="B33" s="37" t="s">
        <v>401</v>
      </c>
      <c r="C33" s="37"/>
      <c r="D33" s="37" t="s">
        <v>402</v>
      </c>
      <c r="E33" s="37"/>
      <c r="F33" s="37" t="s">
        <v>403</v>
      </c>
      <c r="G33" s="37" t="s">
        <v>122</v>
      </c>
    </row>
    <row r="34" customFormat="false" ht="15" hidden="false" customHeight="false" outlineLevel="0" collapsed="false">
      <c r="A34" s="40" t="s">
        <v>404</v>
      </c>
      <c r="B34" s="50" t="n">
        <v>355542</v>
      </c>
      <c r="C34" s="50"/>
      <c r="D34" s="50"/>
      <c r="E34" s="50"/>
      <c r="F34" s="51" t="str">
        <f aca="false">IF(D34="","–",D34/B34)</f>
        <v>–</v>
      </c>
      <c r="G34" s="42" t="str">
        <f aca="false">IF(D34="","–",IF(F34&gt;=1,"On track",IF(F34&gt;=0.9,"Watch","Off track")))</f>
        <v>–</v>
      </c>
    </row>
    <row r="35" customFormat="false" ht="15" hidden="false" customHeight="false" outlineLevel="0" collapsed="false">
      <c r="A35" s="40" t="s">
        <v>405</v>
      </c>
      <c r="B35" s="50" t="n">
        <v>609500</v>
      </c>
      <c r="C35" s="50"/>
      <c r="D35" s="50"/>
      <c r="E35" s="50"/>
      <c r="F35" s="51" t="str">
        <f aca="false">IF(D35="","–",D35/B35)</f>
        <v>–</v>
      </c>
      <c r="G35" s="42" t="str">
        <f aca="false">IF(D35="","–",IF(F35&gt;=1,"On track",IF(F35&gt;=0.9,"Watch","Off track")))</f>
        <v>–</v>
      </c>
    </row>
    <row r="36" customFormat="false" ht="15" hidden="false" customHeight="false" outlineLevel="0" collapsed="false">
      <c r="A36" s="40" t="s">
        <v>406</v>
      </c>
      <c r="B36" s="50" t="n">
        <v>711083</v>
      </c>
      <c r="C36" s="50"/>
      <c r="D36" s="50"/>
      <c r="E36" s="50"/>
      <c r="F36" s="51" t="str">
        <f aca="false">IF(D36="","–",D36/B36)</f>
        <v>–</v>
      </c>
      <c r="G36" s="42" t="str">
        <f aca="false">IF(D36="","–",IF(F36&gt;=1,"On track",IF(F36&gt;=0.9,"Watch","Off track")))</f>
        <v>–</v>
      </c>
    </row>
    <row r="37" customFormat="false" ht="15" hidden="false" customHeight="false" outlineLevel="0" collapsed="false">
      <c r="A37" s="36" t="s">
        <v>407</v>
      </c>
    </row>
  </sheetData>
  <mergeCells count="8">
    <mergeCell ref="B33:C33"/>
    <mergeCell ref="D33:E33"/>
    <mergeCell ref="B34:C34"/>
    <mergeCell ref="D34:E34"/>
    <mergeCell ref="B35:C35"/>
    <mergeCell ref="D35:E35"/>
    <mergeCell ref="B36:C36"/>
    <mergeCell ref="D36:E36"/>
  </mergeCells>
  <conditionalFormatting sqref="F25:M30">
    <cfRule type="cellIs" priority="2" operator="equal" aboveAverage="0" equalAverage="0" bottom="0" percent="0" rank="0" text="" dxfId="0">
      <formula>"On track"</formula>
    </cfRule>
    <cfRule type="cellIs" priority="3" operator="equal" aboveAverage="0" equalAverage="0" bottom="0" percent="0" rank="0" text="" dxfId="3">
      <formula>"Watch"</formula>
    </cfRule>
    <cfRule type="cellIs" priority="4" operator="equal" aboveAverage="0" equalAverage="0" bottom="0" percent="0" rank="0" text="" dxfId="1">
      <formula>"Off track"</formula>
    </cfRule>
  </conditionalFormatting>
  <conditionalFormatting sqref="G34:G36">
    <cfRule type="cellIs" priority="5" operator="equal" aboveAverage="0" equalAverage="0" bottom="0" percent="0" rank="0" text="" dxfId="0">
      <formula>"On track"</formula>
    </cfRule>
    <cfRule type="cellIs" priority="6" operator="equal" aboveAverage="0" equalAverage="0" bottom="0" percent="0" rank="0" text="" dxfId="3">
      <formula>"Watch"</formula>
    </cfRule>
    <cfRule type="cellIs" priority="7" operator="equal" aboveAverage="0" equalAverage="0" bottom="0" percent="0" rank="0" text="" dxfId="1">
      <formula>"Off track"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8"/>
    <col collapsed="false" customWidth="true" hidden="false" outlineLevel="0" max="3" min="3" style="0" width="34"/>
    <col collapsed="false" customWidth="true" hidden="false" outlineLevel="0" max="4" min="4" style="0" width="20"/>
    <col collapsed="false" customWidth="true" hidden="false" outlineLevel="0" max="5" min="5" style="0" width="18"/>
    <col collapsed="false" customWidth="true" hidden="false" outlineLevel="0" max="6" min="6" style="0" width="14"/>
    <col collapsed="false" customWidth="true" hidden="false" outlineLevel="0" max="7" min="7" style="0" width="9"/>
    <col collapsed="false" customWidth="true" hidden="false" outlineLevel="0" max="8" min="8" style="0" width="10"/>
    <col collapsed="false" customWidth="true" hidden="false" outlineLevel="0" max="9" min="9" style="0" width="7"/>
    <col collapsed="false" customWidth="true" hidden="false" outlineLevel="0" max="12" min="10" style="0" width="8"/>
    <col collapsed="false" customWidth="true" hidden="false" outlineLevel="0" max="13" min="13" style="0" width="6"/>
    <col collapsed="false" customWidth="true" hidden="false" outlineLevel="0" max="14" min="14" style="0" width="11"/>
    <col collapsed="false" customWidth="true" hidden="false" outlineLevel="0" max="15" min="15" style="0" width="18"/>
    <col collapsed="false" customWidth="true" hidden="false" outlineLevel="0" max="16" min="16" style="0" width="22"/>
    <col collapsed="false" customWidth="true" hidden="true" outlineLevel="0" max="19" min="17" style="0" width="4"/>
  </cols>
  <sheetData>
    <row r="1" customFormat="false" ht="19.7" hidden="false" customHeight="false" outlineLevel="0" collapsed="false">
      <c r="A1" s="35" t="s">
        <v>193</v>
      </c>
    </row>
    <row r="2" customFormat="false" ht="15" hidden="false" customHeight="false" outlineLevel="0" collapsed="false">
      <c r="A2" s="17" t="s">
        <v>408</v>
      </c>
    </row>
    <row r="3" customFormat="false" ht="15" hidden="false" customHeight="false" outlineLevel="0" collapsed="false">
      <c r="A3" s="36" t="s">
        <v>409</v>
      </c>
    </row>
    <row r="4" customFormat="false" ht="39.75" hidden="false" customHeight="true" outlineLevel="0" collapsed="false">
      <c r="A4" s="37" t="s">
        <v>95</v>
      </c>
      <c r="B4" s="37" t="s">
        <v>410</v>
      </c>
      <c r="C4" s="37" t="s">
        <v>411</v>
      </c>
      <c r="D4" s="37" t="s">
        <v>412</v>
      </c>
      <c r="E4" s="37" t="s">
        <v>125</v>
      </c>
      <c r="F4" s="37" t="s">
        <v>413</v>
      </c>
      <c r="G4" s="37" t="s">
        <v>414</v>
      </c>
      <c r="H4" s="37" t="s">
        <v>415</v>
      </c>
      <c r="I4" s="37" t="s">
        <v>416</v>
      </c>
      <c r="J4" s="37" t="s">
        <v>417</v>
      </c>
      <c r="K4" s="38" t="s">
        <v>418</v>
      </c>
      <c r="L4" s="38" t="s">
        <v>419</v>
      </c>
      <c r="M4" s="38" t="s">
        <v>420</v>
      </c>
      <c r="N4" s="37" t="s">
        <v>122</v>
      </c>
      <c r="O4" s="37" t="s">
        <v>124</v>
      </c>
      <c r="P4" s="37" t="s">
        <v>421</v>
      </c>
      <c r="Q4" s="38" t="s">
        <v>422</v>
      </c>
      <c r="R4" s="38" t="s">
        <v>423</v>
      </c>
      <c r="S4" s="38" t="s">
        <v>424</v>
      </c>
    </row>
    <row r="5" customFormat="false" ht="31.5" hidden="false" customHeight="true" outlineLevel="0" collapsed="false">
      <c r="A5" s="40" t="s">
        <v>425</v>
      </c>
      <c r="B5" s="12" t="s">
        <v>426</v>
      </c>
      <c r="C5" s="13" t="s">
        <v>427</v>
      </c>
      <c r="D5" s="13" t="s">
        <v>428</v>
      </c>
      <c r="E5" s="13" t="s">
        <v>429</v>
      </c>
      <c r="F5" s="13" t="s">
        <v>430</v>
      </c>
      <c r="G5" s="14" t="s">
        <v>431</v>
      </c>
      <c r="H5" s="14" t="s">
        <v>64</v>
      </c>
      <c r="I5" s="14" t="s">
        <v>432</v>
      </c>
      <c r="J5" s="14" t="n">
        <v>4</v>
      </c>
      <c r="K5" s="39" t="n">
        <f aca="false">IF(I5="","",IF(I5="S",1,IF(I5="M",2,IF(I5="L",3,IF(I5="XL",5,"")))))</f>
        <v>1</v>
      </c>
      <c r="L5" s="52" t="n">
        <f aca="false">IF(OR(J5="",K5=""),"",ROUND(J5/K5,2))</f>
        <v>4</v>
      </c>
      <c r="M5" s="39" t="n">
        <f aca="false">IF(L5="","",RANK(L5,$L$5:$L$54)+COUNTIF($L$5:L5,L5)-1)</f>
        <v>1</v>
      </c>
      <c r="N5" s="14" t="s">
        <v>433</v>
      </c>
      <c r="O5" s="13" t="s">
        <v>115</v>
      </c>
      <c r="P5" s="13" t="s">
        <v>434</v>
      </c>
      <c r="Q5" s="53" t="n">
        <f aca="false">IF(G5="Now",M5,"")</f>
        <v>1</v>
      </c>
      <c r="R5" s="53" t="str">
        <f aca="false">IF(G5="Next",M5,"")</f>
        <v/>
      </c>
      <c r="S5" s="53" t="str">
        <f aca="false">IF(G5="Later",M5,"")</f>
        <v/>
      </c>
    </row>
    <row r="6" customFormat="false" ht="31.5" hidden="false" customHeight="true" outlineLevel="0" collapsed="false">
      <c r="A6" s="40" t="s">
        <v>435</v>
      </c>
      <c r="B6" s="12" t="s">
        <v>436</v>
      </c>
      <c r="C6" s="13" t="s">
        <v>437</v>
      </c>
      <c r="D6" s="13" t="s">
        <v>438</v>
      </c>
      <c r="E6" s="13" t="s">
        <v>372</v>
      </c>
      <c r="F6" s="13" t="s">
        <v>372</v>
      </c>
      <c r="G6" s="14" t="s">
        <v>431</v>
      </c>
      <c r="H6" s="14" t="s">
        <v>64</v>
      </c>
      <c r="I6" s="14" t="s">
        <v>432</v>
      </c>
      <c r="J6" s="14" t="n">
        <v>3</v>
      </c>
      <c r="K6" s="39" t="n">
        <f aca="false">IF(I6="","",IF(I6="S",1,IF(I6="M",2,IF(I6="L",3,IF(I6="XL",5,"")))))</f>
        <v>1</v>
      </c>
      <c r="L6" s="52" t="n">
        <f aca="false">IF(OR(J6="",K6=""),"",ROUND(J6/K6,2))</f>
        <v>3</v>
      </c>
      <c r="M6" s="39" t="n">
        <f aca="false">IF(L6="","",RANK(L6,$L$5:$L$54)+COUNTIF($L$5:L6,L6)-1)</f>
        <v>3</v>
      </c>
      <c r="N6" s="14" t="s">
        <v>433</v>
      </c>
      <c r="O6" s="13" t="s">
        <v>115</v>
      </c>
      <c r="P6" s="13" t="s">
        <v>291</v>
      </c>
      <c r="Q6" s="53" t="n">
        <f aca="false">IF(G6="Now",M6,"")</f>
        <v>3</v>
      </c>
      <c r="R6" s="53" t="str">
        <f aca="false">IF(G6="Next",M6,"")</f>
        <v/>
      </c>
      <c r="S6" s="53" t="str">
        <f aca="false">IF(G6="Later",M6,"")</f>
        <v/>
      </c>
    </row>
    <row r="7" customFormat="false" ht="31.5" hidden="false" customHeight="true" outlineLevel="0" collapsed="false">
      <c r="A7" s="40" t="s">
        <v>439</v>
      </c>
      <c r="B7" s="12" t="s">
        <v>440</v>
      </c>
      <c r="C7" s="13" t="s">
        <v>441</v>
      </c>
      <c r="D7" s="13" t="s">
        <v>442</v>
      </c>
      <c r="E7" s="13" t="s">
        <v>443</v>
      </c>
      <c r="F7" s="13" t="s">
        <v>444</v>
      </c>
      <c r="G7" s="14" t="s">
        <v>445</v>
      </c>
      <c r="H7" s="14" t="s">
        <v>65</v>
      </c>
      <c r="I7" s="14" t="s">
        <v>446</v>
      </c>
      <c r="J7" s="14" t="n">
        <v>5</v>
      </c>
      <c r="K7" s="39" t="n">
        <f aca="false">IF(I7="","",IF(I7="S",1,IF(I7="M",2,IF(I7="L",3,IF(I7="XL",5,"")))))</f>
        <v>2</v>
      </c>
      <c r="L7" s="52" t="n">
        <f aca="false">IF(OR(J7="",K7=""),"",ROUND(J7/K7,2))</f>
        <v>2.5</v>
      </c>
      <c r="M7" s="39" t="n">
        <f aca="false">IF(L7="","",RANK(L7,$L$5:$L$54)+COUNTIF($L$5:L7,L7)-1)</f>
        <v>4</v>
      </c>
      <c r="N7" s="14" t="s">
        <v>447</v>
      </c>
      <c r="O7" s="13" t="s">
        <v>115</v>
      </c>
      <c r="P7" s="13" t="s">
        <v>448</v>
      </c>
      <c r="Q7" s="53" t="str">
        <f aca="false">IF(G7="Now",M7,"")</f>
        <v/>
      </c>
      <c r="R7" s="53" t="n">
        <f aca="false">IF(G7="Next",M7,"")</f>
        <v>4</v>
      </c>
      <c r="S7" s="53" t="str">
        <f aca="false">IF(G7="Later",M7,"")</f>
        <v/>
      </c>
    </row>
    <row r="8" customFormat="false" ht="31.5" hidden="false" customHeight="true" outlineLevel="0" collapsed="false">
      <c r="A8" s="40" t="s">
        <v>449</v>
      </c>
      <c r="B8" s="12" t="s">
        <v>450</v>
      </c>
      <c r="C8" s="13" t="s">
        <v>451</v>
      </c>
      <c r="D8" s="13" t="s">
        <v>452</v>
      </c>
      <c r="E8" s="13" t="s">
        <v>453</v>
      </c>
      <c r="F8" s="13" t="s">
        <v>454</v>
      </c>
      <c r="G8" s="14" t="s">
        <v>445</v>
      </c>
      <c r="H8" s="14" t="s">
        <v>65</v>
      </c>
      <c r="I8" s="14" t="s">
        <v>446</v>
      </c>
      <c r="J8" s="14" t="n">
        <v>3</v>
      </c>
      <c r="K8" s="39" t="n">
        <f aca="false">IF(I8="","",IF(I8="S",1,IF(I8="M",2,IF(I8="L",3,IF(I8="XL",5,"")))))</f>
        <v>2</v>
      </c>
      <c r="L8" s="52" t="n">
        <f aca="false">IF(OR(J8="",K8=""),"",ROUND(J8/K8,2))</f>
        <v>1.5</v>
      </c>
      <c r="M8" s="39" t="n">
        <f aca="false">IF(L8="","",RANK(L8,$L$5:$L$54)+COUNTIF($L$5:L8,L8)-1)</f>
        <v>8</v>
      </c>
      <c r="N8" s="14" t="s">
        <v>433</v>
      </c>
      <c r="O8" s="13" t="s">
        <v>162</v>
      </c>
      <c r="P8" s="13" t="s">
        <v>455</v>
      </c>
      <c r="Q8" s="53" t="str">
        <f aca="false">IF(G8="Now",M8,"")</f>
        <v/>
      </c>
      <c r="R8" s="53" t="n">
        <f aca="false">IF(G8="Next",M8,"")</f>
        <v>8</v>
      </c>
      <c r="S8" s="53" t="str">
        <f aca="false">IF(G8="Later",M8,"")</f>
        <v/>
      </c>
    </row>
    <row r="9" customFormat="false" ht="31.5" hidden="false" customHeight="true" outlineLevel="0" collapsed="false">
      <c r="A9" s="40" t="s">
        <v>456</v>
      </c>
      <c r="B9" s="12" t="s">
        <v>457</v>
      </c>
      <c r="C9" s="13" t="s">
        <v>458</v>
      </c>
      <c r="D9" s="13" t="s">
        <v>459</v>
      </c>
      <c r="E9" s="13" t="s">
        <v>460</v>
      </c>
      <c r="F9" s="13" t="s">
        <v>461</v>
      </c>
      <c r="G9" s="14" t="s">
        <v>445</v>
      </c>
      <c r="H9" s="14" t="s">
        <v>65</v>
      </c>
      <c r="I9" s="14" t="s">
        <v>446</v>
      </c>
      <c r="J9" s="14" t="n">
        <v>3</v>
      </c>
      <c r="K9" s="39" t="n">
        <f aca="false">IF(I9="","",IF(I9="S",1,IF(I9="M",2,IF(I9="L",3,IF(I9="XL",5,"")))))</f>
        <v>2</v>
      </c>
      <c r="L9" s="52" t="n">
        <f aca="false">IF(OR(J9="",K9=""),"",ROUND(J9/K9,2))</f>
        <v>1.5</v>
      </c>
      <c r="M9" s="39" t="n">
        <f aca="false">IF(L9="","",RANK(L9,$L$5:$L$54)+COUNTIF($L$5:L9,L9)-1)</f>
        <v>9</v>
      </c>
      <c r="N9" s="14" t="s">
        <v>462</v>
      </c>
      <c r="O9" s="13" t="s">
        <v>115</v>
      </c>
      <c r="P9" s="13" t="s">
        <v>463</v>
      </c>
      <c r="Q9" s="53" t="str">
        <f aca="false">IF(G9="Now",M9,"")</f>
        <v/>
      </c>
      <c r="R9" s="53" t="n">
        <f aca="false">IF(G9="Next",M9,"")</f>
        <v>9</v>
      </c>
      <c r="S9" s="53" t="str">
        <f aca="false">IF(G9="Later",M9,"")</f>
        <v/>
      </c>
    </row>
    <row r="10" customFormat="false" ht="31.5" hidden="false" customHeight="true" outlineLevel="0" collapsed="false">
      <c r="A10" s="40" t="s">
        <v>464</v>
      </c>
      <c r="B10" s="12" t="s">
        <v>465</v>
      </c>
      <c r="C10" s="13" t="s">
        <v>466</v>
      </c>
      <c r="D10" s="13" t="s">
        <v>467</v>
      </c>
      <c r="E10" s="13" t="s">
        <v>468</v>
      </c>
      <c r="F10" s="13" t="s">
        <v>353</v>
      </c>
      <c r="G10" s="14" t="s">
        <v>445</v>
      </c>
      <c r="H10" s="14" t="s">
        <v>66</v>
      </c>
      <c r="I10" s="14" t="s">
        <v>469</v>
      </c>
      <c r="J10" s="14" t="n">
        <v>4</v>
      </c>
      <c r="K10" s="39" t="n">
        <f aca="false">IF(I10="","",IF(I10="S",1,IF(I10="M",2,IF(I10="L",3,IF(I10="XL",5,"")))))</f>
        <v>5</v>
      </c>
      <c r="L10" s="52" t="n">
        <f aca="false">IF(OR(J10="",K10=""),"",ROUND(J10/K10,2))</f>
        <v>0.8</v>
      </c>
      <c r="M10" s="39" t="n">
        <f aca="false">IF(L10="","",RANK(L10,$L$5:$L$54)+COUNTIF($L$5:L10,L10)-1)</f>
        <v>11</v>
      </c>
      <c r="N10" s="14" t="s">
        <v>447</v>
      </c>
      <c r="O10" s="13" t="s">
        <v>470</v>
      </c>
      <c r="P10" s="13" t="s">
        <v>471</v>
      </c>
      <c r="Q10" s="53" t="str">
        <f aca="false">IF(G10="Now",M10,"")</f>
        <v/>
      </c>
      <c r="R10" s="53" t="n">
        <f aca="false">IF(G10="Next",M10,"")</f>
        <v>11</v>
      </c>
      <c r="S10" s="53" t="str">
        <f aca="false">IF(G10="Later",M10,"")</f>
        <v/>
      </c>
    </row>
    <row r="11" customFormat="false" ht="31.5" hidden="false" customHeight="true" outlineLevel="0" collapsed="false">
      <c r="A11" s="40" t="s">
        <v>472</v>
      </c>
      <c r="B11" s="12" t="s">
        <v>473</v>
      </c>
      <c r="C11" s="13" t="s">
        <v>474</v>
      </c>
      <c r="D11" s="13" t="s">
        <v>475</v>
      </c>
      <c r="E11" s="13" t="s">
        <v>476</v>
      </c>
      <c r="F11" s="13" t="s">
        <v>348</v>
      </c>
      <c r="G11" s="14" t="s">
        <v>445</v>
      </c>
      <c r="H11" s="14" t="s">
        <v>66</v>
      </c>
      <c r="I11" s="14" t="s">
        <v>477</v>
      </c>
      <c r="J11" s="14" t="n">
        <v>3</v>
      </c>
      <c r="K11" s="39" t="n">
        <f aca="false">IF(I11="","",IF(I11="S",1,IF(I11="M",2,IF(I11="L",3,IF(I11="XL",5,"")))))</f>
        <v>3</v>
      </c>
      <c r="L11" s="52" t="n">
        <f aca="false">IF(OR(J11="",K11=""),"",ROUND(J11/K11,2))</f>
        <v>1</v>
      </c>
      <c r="M11" s="39" t="n">
        <f aca="false">IF(L11="","",RANK(L11,$L$5:$L$54)+COUNTIF($L$5:L11,L11)-1)</f>
        <v>10</v>
      </c>
      <c r="N11" s="14" t="s">
        <v>433</v>
      </c>
      <c r="O11" s="13" t="s">
        <v>187</v>
      </c>
      <c r="P11" s="13" t="s">
        <v>471</v>
      </c>
      <c r="Q11" s="53" t="str">
        <f aca="false">IF(G11="Now",M11,"")</f>
        <v/>
      </c>
      <c r="R11" s="53" t="n">
        <f aca="false">IF(G11="Next",M11,"")</f>
        <v>10</v>
      </c>
      <c r="S11" s="53" t="str">
        <f aca="false">IF(G11="Later",M11,"")</f>
        <v/>
      </c>
    </row>
    <row r="12" customFormat="false" ht="31.5" hidden="false" customHeight="true" outlineLevel="0" collapsed="false">
      <c r="A12" s="40" t="s">
        <v>478</v>
      </c>
      <c r="B12" s="12" t="s">
        <v>479</v>
      </c>
      <c r="C12" s="13" t="s">
        <v>480</v>
      </c>
      <c r="D12" s="13" t="s">
        <v>481</v>
      </c>
      <c r="E12" s="13" t="s">
        <v>482</v>
      </c>
      <c r="F12" s="13" t="s">
        <v>483</v>
      </c>
      <c r="G12" s="14" t="s">
        <v>445</v>
      </c>
      <c r="H12" s="14" t="s">
        <v>65</v>
      </c>
      <c r="I12" s="14" t="s">
        <v>432</v>
      </c>
      <c r="J12" s="14" t="n">
        <v>4</v>
      </c>
      <c r="K12" s="39" t="n">
        <f aca="false">IF(I12="","",IF(I12="S",1,IF(I12="M",2,IF(I12="L",3,IF(I12="XL",5,"")))))</f>
        <v>1</v>
      </c>
      <c r="L12" s="52" t="n">
        <f aca="false">IF(OR(J12="",K12=""),"",ROUND(J12/K12,2))</f>
        <v>4</v>
      </c>
      <c r="M12" s="39" t="n">
        <f aca="false">IF(L12="","",RANK(L12,$L$5:$L$54)+COUNTIF($L$5:L12,L12)-1)</f>
        <v>2</v>
      </c>
      <c r="N12" s="14" t="s">
        <v>433</v>
      </c>
      <c r="O12" s="13" t="s">
        <v>187</v>
      </c>
      <c r="P12" s="13" t="s">
        <v>484</v>
      </c>
      <c r="Q12" s="53" t="str">
        <f aca="false">IF(G12="Now",M12,"")</f>
        <v/>
      </c>
      <c r="R12" s="53" t="n">
        <f aca="false">IF(G12="Next",M12,"")</f>
        <v>2</v>
      </c>
      <c r="S12" s="53" t="str">
        <f aca="false">IF(G12="Later",M12,"")</f>
        <v/>
      </c>
    </row>
    <row r="13" customFormat="false" ht="31.5" hidden="false" customHeight="true" outlineLevel="0" collapsed="false">
      <c r="A13" s="40" t="s">
        <v>485</v>
      </c>
      <c r="B13" s="12" t="s">
        <v>486</v>
      </c>
      <c r="C13" s="13" t="s">
        <v>487</v>
      </c>
      <c r="D13" s="13" t="s">
        <v>488</v>
      </c>
      <c r="E13" s="13" t="s">
        <v>353</v>
      </c>
      <c r="F13" s="13" t="s">
        <v>353</v>
      </c>
      <c r="G13" s="14" t="s">
        <v>489</v>
      </c>
      <c r="H13" s="14" t="s">
        <v>67</v>
      </c>
      <c r="I13" s="14" t="s">
        <v>446</v>
      </c>
      <c r="J13" s="14" t="n">
        <v>4</v>
      </c>
      <c r="K13" s="39" t="n">
        <f aca="false">IF(I13="","",IF(I13="S",1,IF(I13="M",2,IF(I13="L",3,IF(I13="XL",5,"")))))</f>
        <v>2</v>
      </c>
      <c r="L13" s="52" t="n">
        <f aca="false">IF(OR(J13="",K13=""),"",ROUND(J13/K13,2))</f>
        <v>2</v>
      </c>
      <c r="M13" s="39" t="n">
        <f aca="false">IF(L13="","",RANK(L13,$L$5:$L$54)+COUNTIF($L$5:L13,L13)-1)</f>
        <v>6</v>
      </c>
      <c r="N13" s="14" t="s">
        <v>462</v>
      </c>
      <c r="O13" s="13" t="s">
        <v>115</v>
      </c>
      <c r="P13" s="13" t="s">
        <v>490</v>
      </c>
      <c r="Q13" s="53" t="str">
        <f aca="false">IF(G13="Now",M13,"")</f>
        <v/>
      </c>
      <c r="R13" s="53" t="str">
        <f aca="false">IF(G13="Next",M13,"")</f>
        <v/>
      </c>
      <c r="S13" s="53" t="n">
        <f aca="false">IF(G13="Later",M13,"")</f>
        <v>6</v>
      </c>
    </row>
    <row r="14" customFormat="false" ht="31.5" hidden="false" customHeight="true" outlineLevel="0" collapsed="false">
      <c r="A14" s="40" t="s">
        <v>491</v>
      </c>
      <c r="B14" s="12" t="s">
        <v>492</v>
      </c>
      <c r="C14" s="13" t="s">
        <v>493</v>
      </c>
      <c r="D14" s="13" t="s">
        <v>481</v>
      </c>
      <c r="E14" s="13" t="s">
        <v>494</v>
      </c>
      <c r="F14" s="13" t="s">
        <v>348</v>
      </c>
      <c r="G14" s="14" t="s">
        <v>489</v>
      </c>
      <c r="H14" s="14" t="s">
        <v>68</v>
      </c>
      <c r="I14" s="14" t="s">
        <v>469</v>
      </c>
      <c r="J14" s="14" t="n">
        <v>4</v>
      </c>
      <c r="K14" s="39" t="n">
        <f aca="false">IF(I14="","",IF(I14="S",1,IF(I14="M",2,IF(I14="L",3,IF(I14="XL",5,"")))))</f>
        <v>5</v>
      </c>
      <c r="L14" s="52" t="n">
        <f aca="false">IF(OR(J14="",K14=""),"",ROUND(J14/K14,2))</f>
        <v>0.8</v>
      </c>
      <c r="M14" s="39" t="n">
        <f aca="false">IF(L14="","",RANK(L14,$L$5:$L$54)+COUNTIF($L$5:L14,L14)-1)</f>
        <v>12</v>
      </c>
      <c r="N14" s="14" t="s">
        <v>462</v>
      </c>
      <c r="O14" s="13" t="s">
        <v>115</v>
      </c>
      <c r="P14" s="13" t="s">
        <v>495</v>
      </c>
      <c r="Q14" s="53" t="str">
        <f aca="false">IF(G14="Now",M14,"")</f>
        <v/>
      </c>
      <c r="R14" s="53" t="str">
        <f aca="false">IF(G14="Next",M14,"")</f>
        <v/>
      </c>
      <c r="S14" s="53" t="n">
        <f aca="false">IF(G14="Later",M14,"")</f>
        <v>12</v>
      </c>
    </row>
    <row r="15" customFormat="false" ht="31.5" hidden="false" customHeight="true" outlineLevel="0" collapsed="false">
      <c r="A15" s="40" t="s">
        <v>496</v>
      </c>
      <c r="B15" s="12" t="s">
        <v>497</v>
      </c>
      <c r="C15" s="13" t="s">
        <v>498</v>
      </c>
      <c r="D15" s="13" t="s">
        <v>499</v>
      </c>
      <c r="E15" s="13" t="s">
        <v>500</v>
      </c>
      <c r="F15" s="13" t="s">
        <v>444</v>
      </c>
      <c r="G15" s="14" t="s">
        <v>489</v>
      </c>
      <c r="H15" s="14" t="s">
        <v>69</v>
      </c>
      <c r="I15" s="14" t="s">
        <v>477</v>
      </c>
      <c r="J15" s="14" t="n">
        <v>5</v>
      </c>
      <c r="K15" s="39" t="n">
        <f aca="false">IF(I15="","",IF(I15="S",1,IF(I15="M",2,IF(I15="L",3,IF(I15="XL",5,"")))))</f>
        <v>3</v>
      </c>
      <c r="L15" s="52" t="n">
        <f aca="false">IF(OR(J15="",K15=""),"",ROUND(J15/K15,2))</f>
        <v>1.67</v>
      </c>
      <c r="M15" s="39" t="n">
        <f aca="false">IF(L15="","",RANK(L15,$L$5:$L$54)+COUNTIF($L$5:L15,L15)-1)</f>
        <v>7</v>
      </c>
      <c r="N15" s="14" t="s">
        <v>462</v>
      </c>
      <c r="O15" s="13" t="s">
        <v>115</v>
      </c>
      <c r="P15" s="13" t="s">
        <v>495</v>
      </c>
      <c r="Q15" s="53" t="str">
        <f aca="false">IF(G15="Now",M15,"")</f>
        <v/>
      </c>
      <c r="R15" s="53" t="str">
        <f aca="false">IF(G15="Next",M15,"")</f>
        <v/>
      </c>
      <c r="S15" s="53" t="n">
        <f aca="false">IF(G15="Later",M15,"")</f>
        <v>7</v>
      </c>
    </row>
    <row r="16" customFormat="false" ht="31.5" hidden="false" customHeight="true" outlineLevel="0" collapsed="false">
      <c r="A16" s="40" t="s">
        <v>501</v>
      </c>
      <c r="B16" s="12" t="s">
        <v>502</v>
      </c>
      <c r="C16" s="13" t="s">
        <v>503</v>
      </c>
      <c r="D16" s="13" t="s">
        <v>504</v>
      </c>
      <c r="E16" s="13" t="s">
        <v>505</v>
      </c>
      <c r="F16" s="13" t="s">
        <v>506</v>
      </c>
      <c r="G16" s="14" t="s">
        <v>445</v>
      </c>
      <c r="H16" s="14" t="s">
        <v>67</v>
      </c>
      <c r="I16" s="14" t="s">
        <v>446</v>
      </c>
      <c r="J16" s="14" t="n">
        <v>5</v>
      </c>
      <c r="K16" s="39" t="n">
        <f aca="false">IF(I16="","",IF(I16="S",1,IF(I16="M",2,IF(I16="L",3,IF(I16="XL",5,"")))))</f>
        <v>2</v>
      </c>
      <c r="L16" s="52" t="n">
        <f aca="false">IF(OR(J16="",K16=""),"",ROUND(J16/K16,2))</f>
        <v>2.5</v>
      </c>
      <c r="M16" s="39" t="n">
        <f aca="false">IF(L16="","",RANK(L16,$L$5:$L$54)+COUNTIF($L$5:L16,L16)-1)</f>
        <v>5</v>
      </c>
      <c r="N16" s="14" t="s">
        <v>433</v>
      </c>
      <c r="O16" s="13" t="s">
        <v>162</v>
      </c>
      <c r="P16" s="13" t="s">
        <v>507</v>
      </c>
      <c r="Q16" s="53" t="str">
        <f aca="false">IF(G16="Now",M16,"")</f>
        <v/>
      </c>
      <c r="R16" s="53" t="n">
        <f aca="false">IF(G16="Next",M16,"")</f>
        <v>5</v>
      </c>
      <c r="S16" s="53" t="str">
        <f aca="false">IF(G16="Later",M16,"")</f>
        <v/>
      </c>
    </row>
    <row r="17" customFormat="false" ht="19.5" hidden="false" customHeight="true" outlineLevel="0" collapsed="false">
      <c r="A17" s="14"/>
      <c r="B17" s="13"/>
      <c r="C17" s="13"/>
      <c r="D17" s="13"/>
      <c r="E17" s="13"/>
      <c r="F17" s="13"/>
      <c r="G17" s="14"/>
      <c r="H17" s="14"/>
      <c r="I17" s="14"/>
      <c r="J17" s="14"/>
      <c r="K17" s="39" t="str">
        <f aca="false">IF(I17="","",IF(I17="S",1,IF(I17="M",2,IF(I17="L",3,IF(I17="XL",5,"")))))</f>
        <v/>
      </c>
      <c r="L17" s="52" t="str">
        <f aca="false">IF(OR(J17="",K17=""),"",ROUND(J17/K17,2))</f>
        <v/>
      </c>
      <c r="M17" s="39" t="str">
        <f aca="false">IF(L17="","",RANK(L17,$L$5:$L$54)+COUNTIF($L$5:L17,L17)-1)</f>
        <v/>
      </c>
      <c r="N17" s="14"/>
      <c r="O17" s="13"/>
      <c r="P17" s="13"/>
      <c r="Q17" s="53" t="str">
        <f aca="false">IF(G17="Now",M17,"")</f>
        <v/>
      </c>
      <c r="R17" s="53" t="str">
        <f aca="false">IF(G17="Next",M17,"")</f>
        <v/>
      </c>
      <c r="S17" s="53" t="str">
        <f aca="false">IF(G17="Later",M17,"")</f>
        <v/>
      </c>
    </row>
    <row r="18" customFormat="false" ht="19.5" hidden="false" customHeight="true" outlineLevel="0" collapsed="false">
      <c r="A18" s="14"/>
      <c r="B18" s="13"/>
      <c r="C18" s="13"/>
      <c r="D18" s="13"/>
      <c r="E18" s="13"/>
      <c r="F18" s="13"/>
      <c r="G18" s="14"/>
      <c r="H18" s="14"/>
      <c r="I18" s="14"/>
      <c r="J18" s="14"/>
      <c r="K18" s="39" t="str">
        <f aca="false">IF(I18="","",IF(I18="S",1,IF(I18="M",2,IF(I18="L",3,IF(I18="XL",5,"")))))</f>
        <v/>
      </c>
      <c r="L18" s="52" t="str">
        <f aca="false">IF(OR(J18="",K18=""),"",ROUND(J18/K18,2))</f>
        <v/>
      </c>
      <c r="M18" s="39" t="str">
        <f aca="false">IF(L18="","",RANK(L18,$L$5:$L$54)+COUNTIF($L$5:L18,L18)-1)</f>
        <v/>
      </c>
      <c r="N18" s="14"/>
      <c r="O18" s="13"/>
      <c r="P18" s="13"/>
      <c r="Q18" s="53" t="str">
        <f aca="false">IF(G18="Now",M18,"")</f>
        <v/>
      </c>
      <c r="R18" s="53" t="str">
        <f aca="false">IF(G18="Next",M18,"")</f>
        <v/>
      </c>
      <c r="S18" s="53" t="str">
        <f aca="false">IF(G18="Later",M18,"")</f>
        <v/>
      </c>
    </row>
    <row r="19" customFormat="false" ht="19.5" hidden="false" customHeight="true" outlineLevel="0" collapsed="false">
      <c r="A19" s="14"/>
      <c r="B19" s="13"/>
      <c r="C19" s="13"/>
      <c r="D19" s="13"/>
      <c r="E19" s="13"/>
      <c r="F19" s="13"/>
      <c r="G19" s="14"/>
      <c r="H19" s="14"/>
      <c r="I19" s="14"/>
      <c r="J19" s="14"/>
      <c r="K19" s="39" t="str">
        <f aca="false">IF(I19="","",IF(I19="S",1,IF(I19="M",2,IF(I19="L",3,IF(I19="XL",5,"")))))</f>
        <v/>
      </c>
      <c r="L19" s="52" t="str">
        <f aca="false">IF(OR(J19="",K19=""),"",ROUND(J19/K19,2))</f>
        <v/>
      </c>
      <c r="M19" s="39" t="str">
        <f aca="false">IF(L19="","",RANK(L19,$L$5:$L$54)+COUNTIF($L$5:L19,L19)-1)</f>
        <v/>
      </c>
      <c r="N19" s="14"/>
      <c r="O19" s="13"/>
      <c r="P19" s="13"/>
      <c r="Q19" s="53" t="str">
        <f aca="false">IF(G19="Now",M19,"")</f>
        <v/>
      </c>
      <c r="R19" s="53" t="str">
        <f aca="false">IF(G19="Next",M19,"")</f>
        <v/>
      </c>
      <c r="S19" s="53" t="str">
        <f aca="false">IF(G19="Later",M19,"")</f>
        <v/>
      </c>
    </row>
    <row r="20" customFormat="false" ht="19.5" hidden="false" customHeight="true" outlineLevel="0" collapsed="false">
      <c r="A20" s="14"/>
      <c r="B20" s="13"/>
      <c r="C20" s="13"/>
      <c r="D20" s="13"/>
      <c r="E20" s="13"/>
      <c r="F20" s="13"/>
      <c r="G20" s="14"/>
      <c r="H20" s="14"/>
      <c r="I20" s="14"/>
      <c r="J20" s="14"/>
      <c r="K20" s="39" t="str">
        <f aca="false">IF(I20="","",IF(I20="S",1,IF(I20="M",2,IF(I20="L",3,IF(I20="XL",5,"")))))</f>
        <v/>
      </c>
      <c r="L20" s="52" t="str">
        <f aca="false">IF(OR(J20="",K20=""),"",ROUND(J20/K20,2))</f>
        <v/>
      </c>
      <c r="M20" s="39" t="str">
        <f aca="false">IF(L20="","",RANK(L20,$L$5:$L$54)+COUNTIF($L$5:L20,L20)-1)</f>
        <v/>
      </c>
      <c r="N20" s="14"/>
      <c r="O20" s="13"/>
      <c r="P20" s="13"/>
      <c r="Q20" s="53" t="str">
        <f aca="false">IF(G20="Now",M20,"")</f>
        <v/>
      </c>
      <c r="R20" s="53" t="str">
        <f aca="false">IF(G20="Next",M20,"")</f>
        <v/>
      </c>
      <c r="S20" s="53" t="str">
        <f aca="false">IF(G20="Later",M20,"")</f>
        <v/>
      </c>
    </row>
    <row r="21" customFormat="false" ht="19.5" hidden="false" customHeight="true" outlineLevel="0" collapsed="false">
      <c r="A21" s="14"/>
      <c r="B21" s="13"/>
      <c r="C21" s="13"/>
      <c r="D21" s="13"/>
      <c r="E21" s="13"/>
      <c r="F21" s="13"/>
      <c r="G21" s="14"/>
      <c r="H21" s="14"/>
      <c r="I21" s="14"/>
      <c r="J21" s="14"/>
      <c r="K21" s="39" t="str">
        <f aca="false">IF(I21="","",IF(I21="S",1,IF(I21="M",2,IF(I21="L",3,IF(I21="XL",5,"")))))</f>
        <v/>
      </c>
      <c r="L21" s="52" t="str">
        <f aca="false">IF(OR(J21="",K21=""),"",ROUND(J21/K21,2))</f>
        <v/>
      </c>
      <c r="M21" s="39" t="str">
        <f aca="false">IF(L21="","",RANK(L21,$L$5:$L$54)+COUNTIF($L$5:L21,L21)-1)</f>
        <v/>
      </c>
      <c r="N21" s="14"/>
      <c r="O21" s="13"/>
      <c r="P21" s="13"/>
      <c r="Q21" s="53" t="str">
        <f aca="false">IF(G21="Now",M21,"")</f>
        <v/>
      </c>
      <c r="R21" s="53" t="str">
        <f aca="false">IF(G21="Next",M21,"")</f>
        <v/>
      </c>
      <c r="S21" s="53" t="str">
        <f aca="false">IF(G21="Later",M21,"")</f>
        <v/>
      </c>
    </row>
    <row r="22" customFormat="false" ht="19.5" hidden="false" customHeight="true" outlineLevel="0" collapsed="false">
      <c r="A22" s="14"/>
      <c r="B22" s="13"/>
      <c r="C22" s="13"/>
      <c r="D22" s="13"/>
      <c r="E22" s="13"/>
      <c r="F22" s="13"/>
      <c r="G22" s="14"/>
      <c r="H22" s="14"/>
      <c r="I22" s="14"/>
      <c r="J22" s="14"/>
      <c r="K22" s="39" t="str">
        <f aca="false">IF(I22="","",IF(I22="S",1,IF(I22="M",2,IF(I22="L",3,IF(I22="XL",5,"")))))</f>
        <v/>
      </c>
      <c r="L22" s="52" t="str">
        <f aca="false">IF(OR(J22="",K22=""),"",ROUND(J22/K22,2))</f>
        <v/>
      </c>
      <c r="M22" s="39" t="str">
        <f aca="false">IF(L22="","",RANK(L22,$L$5:$L$54)+COUNTIF($L$5:L22,L22)-1)</f>
        <v/>
      </c>
      <c r="N22" s="14"/>
      <c r="O22" s="13"/>
      <c r="P22" s="13"/>
      <c r="Q22" s="53" t="str">
        <f aca="false">IF(G22="Now",M22,"")</f>
        <v/>
      </c>
      <c r="R22" s="53" t="str">
        <f aca="false">IF(G22="Next",M22,"")</f>
        <v/>
      </c>
      <c r="S22" s="53" t="str">
        <f aca="false">IF(G22="Later",M22,"")</f>
        <v/>
      </c>
    </row>
    <row r="23" customFormat="false" ht="19.5" hidden="false" customHeight="true" outlineLevel="0" collapsed="false">
      <c r="A23" s="14"/>
      <c r="B23" s="13"/>
      <c r="C23" s="13"/>
      <c r="D23" s="13"/>
      <c r="E23" s="13"/>
      <c r="F23" s="13"/>
      <c r="G23" s="14"/>
      <c r="H23" s="14"/>
      <c r="I23" s="14"/>
      <c r="J23" s="14"/>
      <c r="K23" s="39" t="str">
        <f aca="false">IF(I23="","",IF(I23="S",1,IF(I23="M",2,IF(I23="L",3,IF(I23="XL",5,"")))))</f>
        <v/>
      </c>
      <c r="L23" s="52" t="str">
        <f aca="false">IF(OR(J23="",K23=""),"",ROUND(J23/K23,2))</f>
        <v/>
      </c>
      <c r="M23" s="39" t="str">
        <f aca="false">IF(L23="","",RANK(L23,$L$5:$L$54)+COUNTIF($L$5:L23,L23)-1)</f>
        <v/>
      </c>
      <c r="N23" s="14"/>
      <c r="O23" s="13"/>
      <c r="P23" s="13"/>
      <c r="Q23" s="53" t="str">
        <f aca="false">IF(G23="Now",M23,"")</f>
        <v/>
      </c>
      <c r="R23" s="53" t="str">
        <f aca="false">IF(G23="Next",M23,"")</f>
        <v/>
      </c>
      <c r="S23" s="53" t="str">
        <f aca="false">IF(G23="Later",M23,"")</f>
        <v/>
      </c>
    </row>
    <row r="24" customFormat="false" ht="19.5" hidden="false" customHeight="true" outlineLevel="0" collapsed="false">
      <c r="A24" s="14"/>
      <c r="B24" s="13"/>
      <c r="C24" s="13"/>
      <c r="D24" s="13"/>
      <c r="E24" s="13"/>
      <c r="F24" s="13"/>
      <c r="G24" s="14"/>
      <c r="H24" s="14"/>
      <c r="I24" s="14"/>
      <c r="J24" s="14"/>
      <c r="K24" s="39" t="str">
        <f aca="false">IF(I24="","",IF(I24="S",1,IF(I24="M",2,IF(I24="L",3,IF(I24="XL",5,"")))))</f>
        <v/>
      </c>
      <c r="L24" s="52" t="str">
        <f aca="false">IF(OR(J24="",K24=""),"",ROUND(J24/K24,2))</f>
        <v/>
      </c>
      <c r="M24" s="39" t="str">
        <f aca="false">IF(L24="","",RANK(L24,$L$5:$L$54)+COUNTIF($L$5:L24,L24)-1)</f>
        <v/>
      </c>
      <c r="N24" s="14"/>
      <c r="O24" s="13"/>
      <c r="P24" s="13"/>
      <c r="Q24" s="53" t="str">
        <f aca="false">IF(G24="Now",M24,"")</f>
        <v/>
      </c>
      <c r="R24" s="53" t="str">
        <f aca="false">IF(G24="Next",M24,"")</f>
        <v/>
      </c>
      <c r="S24" s="53" t="str">
        <f aca="false">IF(G24="Later",M24,"")</f>
        <v/>
      </c>
    </row>
    <row r="25" customFormat="false" ht="19.5" hidden="false" customHeight="true" outlineLevel="0" collapsed="false">
      <c r="A25" s="14"/>
      <c r="B25" s="13"/>
      <c r="C25" s="13"/>
      <c r="D25" s="13"/>
      <c r="E25" s="13"/>
      <c r="F25" s="13"/>
      <c r="G25" s="14"/>
      <c r="H25" s="14"/>
      <c r="I25" s="14"/>
      <c r="J25" s="14"/>
      <c r="K25" s="39" t="str">
        <f aca="false">IF(I25="","",IF(I25="S",1,IF(I25="M",2,IF(I25="L",3,IF(I25="XL",5,"")))))</f>
        <v/>
      </c>
      <c r="L25" s="52" t="str">
        <f aca="false">IF(OR(J25="",K25=""),"",ROUND(J25/K25,2))</f>
        <v/>
      </c>
      <c r="M25" s="39" t="str">
        <f aca="false">IF(L25="","",RANK(L25,$L$5:$L$54)+COUNTIF($L$5:L25,L25)-1)</f>
        <v/>
      </c>
      <c r="N25" s="14"/>
      <c r="O25" s="13"/>
      <c r="P25" s="13"/>
      <c r="Q25" s="53" t="str">
        <f aca="false">IF(G25="Now",M25,"")</f>
        <v/>
      </c>
      <c r="R25" s="53" t="str">
        <f aca="false">IF(G25="Next",M25,"")</f>
        <v/>
      </c>
      <c r="S25" s="53" t="str">
        <f aca="false">IF(G25="Later",M25,"")</f>
        <v/>
      </c>
    </row>
    <row r="26" customFormat="false" ht="19.5" hidden="false" customHeight="true" outlineLevel="0" collapsed="false">
      <c r="A26" s="14"/>
      <c r="B26" s="13"/>
      <c r="C26" s="13"/>
      <c r="D26" s="13"/>
      <c r="E26" s="13"/>
      <c r="F26" s="13"/>
      <c r="G26" s="14"/>
      <c r="H26" s="14"/>
      <c r="I26" s="14"/>
      <c r="J26" s="14"/>
      <c r="K26" s="39" t="str">
        <f aca="false">IF(I26="","",IF(I26="S",1,IF(I26="M",2,IF(I26="L",3,IF(I26="XL",5,"")))))</f>
        <v/>
      </c>
      <c r="L26" s="52" t="str">
        <f aca="false">IF(OR(J26="",K26=""),"",ROUND(J26/K26,2))</f>
        <v/>
      </c>
      <c r="M26" s="39" t="str">
        <f aca="false">IF(L26="","",RANK(L26,$L$5:$L$54)+COUNTIF($L$5:L26,L26)-1)</f>
        <v/>
      </c>
      <c r="N26" s="14"/>
      <c r="O26" s="13"/>
      <c r="P26" s="13"/>
      <c r="Q26" s="53" t="str">
        <f aca="false">IF(G26="Now",M26,"")</f>
        <v/>
      </c>
      <c r="R26" s="53" t="str">
        <f aca="false">IF(G26="Next",M26,"")</f>
        <v/>
      </c>
      <c r="S26" s="53" t="str">
        <f aca="false">IF(G26="Later",M26,"")</f>
        <v/>
      </c>
    </row>
    <row r="27" customFormat="false" ht="19.5" hidden="false" customHeight="true" outlineLevel="0" collapsed="false">
      <c r="A27" s="14"/>
      <c r="B27" s="13"/>
      <c r="C27" s="13"/>
      <c r="D27" s="13"/>
      <c r="E27" s="13"/>
      <c r="F27" s="13"/>
      <c r="G27" s="14"/>
      <c r="H27" s="14"/>
      <c r="I27" s="14"/>
      <c r="J27" s="14"/>
      <c r="K27" s="39" t="str">
        <f aca="false">IF(I27="","",IF(I27="S",1,IF(I27="M",2,IF(I27="L",3,IF(I27="XL",5,"")))))</f>
        <v/>
      </c>
      <c r="L27" s="52" t="str">
        <f aca="false">IF(OR(J27="",K27=""),"",ROUND(J27/K27,2))</f>
        <v/>
      </c>
      <c r="M27" s="39" t="str">
        <f aca="false">IF(L27="","",RANK(L27,$L$5:$L$54)+COUNTIF($L$5:L27,L27)-1)</f>
        <v/>
      </c>
      <c r="N27" s="14"/>
      <c r="O27" s="13"/>
      <c r="P27" s="13"/>
      <c r="Q27" s="53" t="str">
        <f aca="false">IF(G27="Now",M27,"")</f>
        <v/>
      </c>
      <c r="R27" s="53" t="str">
        <f aca="false">IF(G27="Next",M27,"")</f>
        <v/>
      </c>
      <c r="S27" s="53" t="str">
        <f aca="false">IF(G27="Later",M27,"")</f>
        <v/>
      </c>
    </row>
    <row r="28" customFormat="false" ht="19.5" hidden="false" customHeight="true" outlineLevel="0" collapsed="false">
      <c r="A28" s="14"/>
      <c r="B28" s="13"/>
      <c r="C28" s="13"/>
      <c r="D28" s="13"/>
      <c r="E28" s="13"/>
      <c r="F28" s="13"/>
      <c r="G28" s="14"/>
      <c r="H28" s="14"/>
      <c r="I28" s="14"/>
      <c r="J28" s="14"/>
      <c r="K28" s="39" t="str">
        <f aca="false">IF(I28="","",IF(I28="S",1,IF(I28="M",2,IF(I28="L",3,IF(I28="XL",5,"")))))</f>
        <v/>
      </c>
      <c r="L28" s="52" t="str">
        <f aca="false">IF(OR(J28="",K28=""),"",ROUND(J28/K28,2))</f>
        <v/>
      </c>
      <c r="M28" s="39" t="str">
        <f aca="false">IF(L28="","",RANK(L28,$L$5:$L$54)+COUNTIF($L$5:L28,L28)-1)</f>
        <v/>
      </c>
      <c r="N28" s="14"/>
      <c r="O28" s="13"/>
      <c r="P28" s="13"/>
      <c r="Q28" s="53" t="str">
        <f aca="false">IF(G28="Now",M28,"")</f>
        <v/>
      </c>
      <c r="R28" s="53" t="str">
        <f aca="false">IF(G28="Next",M28,"")</f>
        <v/>
      </c>
      <c r="S28" s="53" t="str">
        <f aca="false">IF(G28="Later",M28,"")</f>
        <v/>
      </c>
    </row>
    <row r="29" customFormat="false" ht="19.5" hidden="false" customHeight="true" outlineLevel="0" collapsed="false">
      <c r="A29" s="14"/>
      <c r="B29" s="13"/>
      <c r="C29" s="13"/>
      <c r="D29" s="13"/>
      <c r="E29" s="13"/>
      <c r="F29" s="13"/>
      <c r="G29" s="14"/>
      <c r="H29" s="14"/>
      <c r="I29" s="14"/>
      <c r="J29" s="14"/>
      <c r="K29" s="39" t="str">
        <f aca="false">IF(I29="","",IF(I29="S",1,IF(I29="M",2,IF(I29="L",3,IF(I29="XL",5,"")))))</f>
        <v/>
      </c>
      <c r="L29" s="52" t="str">
        <f aca="false">IF(OR(J29="",K29=""),"",ROUND(J29/K29,2))</f>
        <v/>
      </c>
      <c r="M29" s="39" t="str">
        <f aca="false">IF(L29="","",RANK(L29,$L$5:$L$54)+COUNTIF($L$5:L29,L29)-1)</f>
        <v/>
      </c>
      <c r="N29" s="14"/>
      <c r="O29" s="13"/>
      <c r="P29" s="13"/>
      <c r="Q29" s="53" t="str">
        <f aca="false">IF(G29="Now",M29,"")</f>
        <v/>
      </c>
      <c r="R29" s="53" t="str">
        <f aca="false">IF(G29="Next",M29,"")</f>
        <v/>
      </c>
      <c r="S29" s="53" t="str">
        <f aca="false">IF(G29="Later",M29,"")</f>
        <v/>
      </c>
    </row>
    <row r="30" customFormat="false" ht="19.5" hidden="false" customHeight="true" outlineLevel="0" collapsed="false">
      <c r="A30" s="14"/>
      <c r="B30" s="13"/>
      <c r="C30" s="13"/>
      <c r="D30" s="13"/>
      <c r="E30" s="13"/>
      <c r="F30" s="13"/>
      <c r="G30" s="14"/>
      <c r="H30" s="14"/>
      <c r="I30" s="14"/>
      <c r="J30" s="14"/>
      <c r="K30" s="39" t="str">
        <f aca="false">IF(I30="","",IF(I30="S",1,IF(I30="M",2,IF(I30="L",3,IF(I30="XL",5,"")))))</f>
        <v/>
      </c>
      <c r="L30" s="52" t="str">
        <f aca="false">IF(OR(J30="",K30=""),"",ROUND(J30/K30,2))</f>
        <v/>
      </c>
      <c r="M30" s="39" t="str">
        <f aca="false">IF(L30="","",RANK(L30,$L$5:$L$54)+COUNTIF($L$5:L30,L30)-1)</f>
        <v/>
      </c>
      <c r="N30" s="14"/>
      <c r="O30" s="13"/>
      <c r="P30" s="13"/>
      <c r="Q30" s="53" t="str">
        <f aca="false">IF(G30="Now",M30,"")</f>
        <v/>
      </c>
      <c r="R30" s="53" t="str">
        <f aca="false">IF(G30="Next",M30,"")</f>
        <v/>
      </c>
      <c r="S30" s="53" t="str">
        <f aca="false">IF(G30="Later",M30,"")</f>
        <v/>
      </c>
    </row>
    <row r="31" customFormat="false" ht="19.5" hidden="false" customHeight="true" outlineLevel="0" collapsed="false">
      <c r="A31" s="14"/>
      <c r="B31" s="13"/>
      <c r="C31" s="13"/>
      <c r="D31" s="13"/>
      <c r="E31" s="13"/>
      <c r="F31" s="13"/>
      <c r="G31" s="14"/>
      <c r="H31" s="14"/>
      <c r="I31" s="14"/>
      <c r="J31" s="14"/>
      <c r="K31" s="39" t="str">
        <f aca="false">IF(I31="","",IF(I31="S",1,IF(I31="M",2,IF(I31="L",3,IF(I31="XL",5,"")))))</f>
        <v/>
      </c>
      <c r="L31" s="52" t="str">
        <f aca="false">IF(OR(J31="",K31=""),"",ROUND(J31/K31,2))</f>
        <v/>
      </c>
      <c r="M31" s="39" t="str">
        <f aca="false">IF(L31="","",RANK(L31,$L$5:$L$54)+COUNTIF($L$5:L31,L31)-1)</f>
        <v/>
      </c>
      <c r="N31" s="14"/>
      <c r="O31" s="13"/>
      <c r="P31" s="13"/>
      <c r="Q31" s="53" t="str">
        <f aca="false">IF(G31="Now",M31,"")</f>
        <v/>
      </c>
      <c r="R31" s="53" t="str">
        <f aca="false">IF(G31="Next",M31,"")</f>
        <v/>
      </c>
      <c r="S31" s="53" t="str">
        <f aca="false">IF(G31="Later",M31,"")</f>
        <v/>
      </c>
    </row>
    <row r="32" customFormat="false" ht="19.5" hidden="false" customHeight="true" outlineLevel="0" collapsed="false">
      <c r="A32" s="14"/>
      <c r="B32" s="13"/>
      <c r="C32" s="13"/>
      <c r="D32" s="13"/>
      <c r="E32" s="13"/>
      <c r="F32" s="13"/>
      <c r="G32" s="14"/>
      <c r="H32" s="14"/>
      <c r="I32" s="14"/>
      <c r="J32" s="14"/>
      <c r="K32" s="39" t="str">
        <f aca="false">IF(I32="","",IF(I32="S",1,IF(I32="M",2,IF(I32="L",3,IF(I32="XL",5,"")))))</f>
        <v/>
      </c>
      <c r="L32" s="52" t="str">
        <f aca="false">IF(OR(J32="",K32=""),"",ROUND(J32/K32,2))</f>
        <v/>
      </c>
      <c r="M32" s="39" t="str">
        <f aca="false">IF(L32="","",RANK(L32,$L$5:$L$54)+COUNTIF($L$5:L32,L32)-1)</f>
        <v/>
      </c>
      <c r="N32" s="14"/>
      <c r="O32" s="13"/>
      <c r="P32" s="13"/>
      <c r="Q32" s="53" t="str">
        <f aca="false">IF(G32="Now",M32,"")</f>
        <v/>
      </c>
      <c r="R32" s="53" t="str">
        <f aca="false">IF(G32="Next",M32,"")</f>
        <v/>
      </c>
      <c r="S32" s="53" t="str">
        <f aca="false">IF(G32="Later",M32,"")</f>
        <v/>
      </c>
    </row>
    <row r="33" customFormat="false" ht="19.5" hidden="false" customHeight="true" outlineLevel="0" collapsed="false">
      <c r="A33" s="14"/>
      <c r="B33" s="13"/>
      <c r="C33" s="13"/>
      <c r="D33" s="13"/>
      <c r="E33" s="13"/>
      <c r="F33" s="13"/>
      <c r="G33" s="14"/>
      <c r="H33" s="14"/>
      <c r="I33" s="14"/>
      <c r="J33" s="14"/>
      <c r="K33" s="39" t="str">
        <f aca="false">IF(I33="","",IF(I33="S",1,IF(I33="M",2,IF(I33="L",3,IF(I33="XL",5,"")))))</f>
        <v/>
      </c>
      <c r="L33" s="52" t="str">
        <f aca="false">IF(OR(J33="",K33=""),"",ROUND(J33/K33,2))</f>
        <v/>
      </c>
      <c r="M33" s="39" t="str">
        <f aca="false">IF(L33="","",RANK(L33,$L$5:$L$54)+COUNTIF($L$5:L33,L33)-1)</f>
        <v/>
      </c>
      <c r="N33" s="14"/>
      <c r="O33" s="13"/>
      <c r="P33" s="13"/>
      <c r="Q33" s="53" t="str">
        <f aca="false">IF(G33="Now",M33,"")</f>
        <v/>
      </c>
      <c r="R33" s="53" t="str">
        <f aca="false">IF(G33="Next",M33,"")</f>
        <v/>
      </c>
      <c r="S33" s="53" t="str">
        <f aca="false">IF(G33="Later",M33,"")</f>
        <v/>
      </c>
    </row>
    <row r="34" customFormat="false" ht="19.5" hidden="false" customHeight="true" outlineLevel="0" collapsed="false">
      <c r="A34" s="14"/>
      <c r="B34" s="13"/>
      <c r="C34" s="13"/>
      <c r="D34" s="13"/>
      <c r="E34" s="13"/>
      <c r="F34" s="13"/>
      <c r="G34" s="14"/>
      <c r="H34" s="14"/>
      <c r="I34" s="14"/>
      <c r="J34" s="14"/>
      <c r="K34" s="39" t="str">
        <f aca="false">IF(I34="","",IF(I34="S",1,IF(I34="M",2,IF(I34="L",3,IF(I34="XL",5,"")))))</f>
        <v/>
      </c>
      <c r="L34" s="52" t="str">
        <f aca="false">IF(OR(J34="",K34=""),"",ROUND(J34/K34,2))</f>
        <v/>
      </c>
      <c r="M34" s="39" t="str">
        <f aca="false">IF(L34="","",RANK(L34,$L$5:$L$54)+COUNTIF($L$5:L34,L34)-1)</f>
        <v/>
      </c>
      <c r="N34" s="14"/>
      <c r="O34" s="13"/>
      <c r="P34" s="13"/>
      <c r="Q34" s="53" t="str">
        <f aca="false">IF(G34="Now",M34,"")</f>
        <v/>
      </c>
      <c r="R34" s="53" t="str">
        <f aca="false">IF(G34="Next",M34,"")</f>
        <v/>
      </c>
      <c r="S34" s="53" t="str">
        <f aca="false">IF(G34="Later",M34,"")</f>
        <v/>
      </c>
    </row>
    <row r="35" customFormat="false" ht="19.5" hidden="false" customHeight="true" outlineLevel="0" collapsed="false">
      <c r="A35" s="14"/>
      <c r="B35" s="13"/>
      <c r="C35" s="13"/>
      <c r="D35" s="13"/>
      <c r="E35" s="13"/>
      <c r="F35" s="13"/>
      <c r="G35" s="14"/>
      <c r="H35" s="14"/>
      <c r="I35" s="14"/>
      <c r="J35" s="14"/>
      <c r="K35" s="39" t="str">
        <f aca="false">IF(I35="","",IF(I35="S",1,IF(I35="M",2,IF(I35="L",3,IF(I35="XL",5,"")))))</f>
        <v/>
      </c>
      <c r="L35" s="52" t="str">
        <f aca="false">IF(OR(J35="",K35=""),"",ROUND(J35/K35,2))</f>
        <v/>
      </c>
      <c r="M35" s="39" t="str">
        <f aca="false">IF(L35="","",RANK(L35,$L$5:$L$54)+COUNTIF($L$5:L35,L35)-1)</f>
        <v/>
      </c>
      <c r="N35" s="14"/>
      <c r="O35" s="13"/>
      <c r="P35" s="13"/>
      <c r="Q35" s="53" t="str">
        <f aca="false">IF(G35="Now",M35,"")</f>
        <v/>
      </c>
      <c r="R35" s="53" t="str">
        <f aca="false">IF(G35="Next",M35,"")</f>
        <v/>
      </c>
      <c r="S35" s="53" t="str">
        <f aca="false">IF(G35="Later",M35,"")</f>
        <v/>
      </c>
    </row>
    <row r="36" customFormat="false" ht="19.5" hidden="false" customHeight="true" outlineLevel="0" collapsed="false">
      <c r="A36" s="14"/>
      <c r="B36" s="13"/>
      <c r="C36" s="13"/>
      <c r="D36" s="13"/>
      <c r="E36" s="13"/>
      <c r="F36" s="13"/>
      <c r="G36" s="14"/>
      <c r="H36" s="14"/>
      <c r="I36" s="14"/>
      <c r="J36" s="14"/>
      <c r="K36" s="39" t="str">
        <f aca="false">IF(I36="","",IF(I36="S",1,IF(I36="M",2,IF(I36="L",3,IF(I36="XL",5,"")))))</f>
        <v/>
      </c>
      <c r="L36" s="52" t="str">
        <f aca="false">IF(OR(J36="",K36=""),"",ROUND(J36/K36,2))</f>
        <v/>
      </c>
      <c r="M36" s="39" t="str">
        <f aca="false">IF(L36="","",RANK(L36,$L$5:$L$54)+COUNTIF($L$5:L36,L36)-1)</f>
        <v/>
      </c>
      <c r="N36" s="14"/>
      <c r="O36" s="13"/>
      <c r="P36" s="13"/>
      <c r="Q36" s="53" t="str">
        <f aca="false">IF(G36="Now",M36,"")</f>
        <v/>
      </c>
      <c r="R36" s="53" t="str">
        <f aca="false">IF(G36="Next",M36,"")</f>
        <v/>
      </c>
      <c r="S36" s="53" t="str">
        <f aca="false">IF(G36="Later",M36,"")</f>
        <v/>
      </c>
    </row>
    <row r="37" customFormat="false" ht="19.5" hidden="false" customHeight="true" outlineLevel="0" collapsed="false">
      <c r="A37" s="14"/>
      <c r="B37" s="13"/>
      <c r="C37" s="13"/>
      <c r="D37" s="13"/>
      <c r="E37" s="13"/>
      <c r="F37" s="13"/>
      <c r="G37" s="14"/>
      <c r="H37" s="14"/>
      <c r="I37" s="14"/>
      <c r="J37" s="14"/>
      <c r="K37" s="39" t="str">
        <f aca="false">IF(I37="","",IF(I37="S",1,IF(I37="M",2,IF(I37="L",3,IF(I37="XL",5,"")))))</f>
        <v/>
      </c>
      <c r="L37" s="52" t="str">
        <f aca="false">IF(OR(J37="",K37=""),"",ROUND(J37/K37,2))</f>
        <v/>
      </c>
      <c r="M37" s="39" t="str">
        <f aca="false">IF(L37="","",RANK(L37,$L$5:$L$54)+COUNTIF($L$5:L37,L37)-1)</f>
        <v/>
      </c>
      <c r="N37" s="14"/>
      <c r="O37" s="13"/>
      <c r="P37" s="13"/>
      <c r="Q37" s="53" t="str">
        <f aca="false">IF(G37="Now",M37,"")</f>
        <v/>
      </c>
      <c r="R37" s="53" t="str">
        <f aca="false">IF(G37="Next",M37,"")</f>
        <v/>
      </c>
      <c r="S37" s="53" t="str">
        <f aca="false">IF(G37="Later",M37,"")</f>
        <v/>
      </c>
    </row>
    <row r="38" customFormat="false" ht="19.5" hidden="false" customHeight="true" outlineLevel="0" collapsed="false">
      <c r="A38" s="14"/>
      <c r="B38" s="13"/>
      <c r="C38" s="13"/>
      <c r="D38" s="13"/>
      <c r="E38" s="13"/>
      <c r="F38" s="13"/>
      <c r="G38" s="14"/>
      <c r="H38" s="14"/>
      <c r="I38" s="14"/>
      <c r="J38" s="14"/>
      <c r="K38" s="39" t="str">
        <f aca="false">IF(I38="","",IF(I38="S",1,IF(I38="M",2,IF(I38="L",3,IF(I38="XL",5,"")))))</f>
        <v/>
      </c>
      <c r="L38" s="52" t="str">
        <f aca="false">IF(OR(J38="",K38=""),"",ROUND(J38/K38,2))</f>
        <v/>
      </c>
      <c r="M38" s="39" t="str">
        <f aca="false">IF(L38="","",RANK(L38,$L$5:$L$54)+COUNTIF($L$5:L38,L38)-1)</f>
        <v/>
      </c>
      <c r="N38" s="14"/>
      <c r="O38" s="13"/>
      <c r="P38" s="13"/>
      <c r="Q38" s="53" t="str">
        <f aca="false">IF(G38="Now",M38,"")</f>
        <v/>
      </c>
      <c r="R38" s="53" t="str">
        <f aca="false">IF(G38="Next",M38,"")</f>
        <v/>
      </c>
      <c r="S38" s="53" t="str">
        <f aca="false">IF(G38="Later",M38,"")</f>
        <v/>
      </c>
    </row>
    <row r="39" customFormat="false" ht="19.5" hidden="false" customHeight="true" outlineLevel="0" collapsed="false">
      <c r="A39" s="14"/>
      <c r="B39" s="13"/>
      <c r="C39" s="13"/>
      <c r="D39" s="13"/>
      <c r="E39" s="13"/>
      <c r="F39" s="13"/>
      <c r="G39" s="14"/>
      <c r="H39" s="14"/>
      <c r="I39" s="14"/>
      <c r="J39" s="14"/>
      <c r="K39" s="39" t="str">
        <f aca="false">IF(I39="","",IF(I39="S",1,IF(I39="M",2,IF(I39="L",3,IF(I39="XL",5,"")))))</f>
        <v/>
      </c>
      <c r="L39" s="52" t="str">
        <f aca="false">IF(OR(J39="",K39=""),"",ROUND(J39/K39,2))</f>
        <v/>
      </c>
      <c r="M39" s="39" t="str">
        <f aca="false">IF(L39="","",RANK(L39,$L$5:$L$54)+COUNTIF($L$5:L39,L39)-1)</f>
        <v/>
      </c>
      <c r="N39" s="14"/>
      <c r="O39" s="13"/>
      <c r="P39" s="13"/>
      <c r="Q39" s="53" t="str">
        <f aca="false">IF(G39="Now",M39,"")</f>
        <v/>
      </c>
      <c r="R39" s="53" t="str">
        <f aca="false">IF(G39="Next",M39,"")</f>
        <v/>
      </c>
      <c r="S39" s="53" t="str">
        <f aca="false">IF(G39="Later",M39,"")</f>
        <v/>
      </c>
    </row>
    <row r="40" customFormat="false" ht="19.5" hidden="false" customHeight="true" outlineLevel="0" collapsed="false">
      <c r="A40" s="14"/>
      <c r="B40" s="13"/>
      <c r="C40" s="13"/>
      <c r="D40" s="13"/>
      <c r="E40" s="13"/>
      <c r="F40" s="13"/>
      <c r="G40" s="14"/>
      <c r="H40" s="14"/>
      <c r="I40" s="14"/>
      <c r="J40" s="14"/>
      <c r="K40" s="39" t="str">
        <f aca="false">IF(I40="","",IF(I40="S",1,IF(I40="M",2,IF(I40="L",3,IF(I40="XL",5,"")))))</f>
        <v/>
      </c>
      <c r="L40" s="52" t="str">
        <f aca="false">IF(OR(J40="",K40=""),"",ROUND(J40/K40,2))</f>
        <v/>
      </c>
      <c r="M40" s="39" t="str">
        <f aca="false">IF(L40="","",RANK(L40,$L$5:$L$54)+COUNTIF($L$5:L40,L40)-1)</f>
        <v/>
      </c>
      <c r="N40" s="14"/>
      <c r="O40" s="13"/>
      <c r="P40" s="13"/>
      <c r="Q40" s="53" t="str">
        <f aca="false">IF(G40="Now",M40,"")</f>
        <v/>
      </c>
      <c r="R40" s="53" t="str">
        <f aca="false">IF(G40="Next",M40,"")</f>
        <v/>
      </c>
      <c r="S40" s="53" t="str">
        <f aca="false">IF(G40="Later",M40,"")</f>
        <v/>
      </c>
    </row>
    <row r="41" customFormat="false" ht="19.5" hidden="false" customHeight="true" outlineLevel="0" collapsed="false">
      <c r="A41" s="14"/>
      <c r="B41" s="13"/>
      <c r="C41" s="13"/>
      <c r="D41" s="13"/>
      <c r="E41" s="13"/>
      <c r="F41" s="13"/>
      <c r="G41" s="14"/>
      <c r="H41" s="14"/>
      <c r="I41" s="14"/>
      <c r="J41" s="14"/>
      <c r="K41" s="39" t="str">
        <f aca="false">IF(I41="","",IF(I41="S",1,IF(I41="M",2,IF(I41="L",3,IF(I41="XL",5,"")))))</f>
        <v/>
      </c>
      <c r="L41" s="52" t="str">
        <f aca="false">IF(OR(J41="",K41=""),"",ROUND(J41/K41,2))</f>
        <v/>
      </c>
      <c r="M41" s="39" t="str">
        <f aca="false">IF(L41="","",RANK(L41,$L$5:$L$54)+COUNTIF($L$5:L41,L41)-1)</f>
        <v/>
      </c>
      <c r="N41" s="14"/>
      <c r="O41" s="13"/>
      <c r="P41" s="13"/>
      <c r="Q41" s="53" t="str">
        <f aca="false">IF(G41="Now",M41,"")</f>
        <v/>
      </c>
      <c r="R41" s="53" t="str">
        <f aca="false">IF(G41="Next",M41,"")</f>
        <v/>
      </c>
      <c r="S41" s="53" t="str">
        <f aca="false">IF(G41="Later",M41,"")</f>
        <v/>
      </c>
    </row>
    <row r="42" customFormat="false" ht="19.5" hidden="false" customHeight="true" outlineLevel="0" collapsed="false">
      <c r="A42" s="14"/>
      <c r="B42" s="13"/>
      <c r="C42" s="13"/>
      <c r="D42" s="13"/>
      <c r="E42" s="13"/>
      <c r="F42" s="13"/>
      <c r="G42" s="14"/>
      <c r="H42" s="14"/>
      <c r="I42" s="14"/>
      <c r="J42" s="14"/>
      <c r="K42" s="39" t="str">
        <f aca="false">IF(I42="","",IF(I42="S",1,IF(I42="M",2,IF(I42="L",3,IF(I42="XL",5,"")))))</f>
        <v/>
      </c>
      <c r="L42" s="52" t="str">
        <f aca="false">IF(OR(J42="",K42=""),"",ROUND(J42/K42,2))</f>
        <v/>
      </c>
      <c r="M42" s="39" t="str">
        <f aca="false">IF(L42="","",RANK(L42,$L$5:$L$54)+COUNTIF($L$5:L42,L42)-1)</f>
        <v/>
      </c>
      <c r="N42" s="14"/>
      <c r="O42" s="13"/>
      <c r="P42" s="13"/>
      <c r="Q42" s="53" t="str">
        <f aca="false">IF(G42="Now",M42,"")</f>
        <v/>
      </c>
      <c r="R42" s="53" t="str">
        <f aca="false">IF(G42="Next",M42,"")</f>
        <v/>
      </c>
      <c r="S42" s="53" t="str">
        <f aca="false">IF(G42="Later",M42,"")</f>
        <v/>
      </c>
    </row>
    <row r="43" customFormat="false" ht="19.5" hidden="false" customHeight="true" outlineLevel="0" collapsed="false">
      <c r="A43" s="14"/>
      <c r="B43" s="13"/>
      <c r="C43" s="13"/>
      <c r="D43" s="13"/>
      <c r="E43" s="13"/>
      <c r="F43" s="13"/>
      <c r="G43" s="14"/>
      <c r="H43" s="14"/>
      <c r="I43" s="14"/>
      <c r="J43" s="14"/>
      <c r="K43" s="39" t="str">
        <f aca="false">IF(I43="","",IF(I43="S",1,IF(I43="M",2,IF(I43="L",3,IF(I43="XL",5,"")))))</f>
        <v/>
      </c>
      <c r="L43" s="52" t="str">
        <f aca="false">IF(OR(J43="",K43=""),"",ROUND(J43/K43,2))</f>
        <v/>
      </c>
      <c r="M43" s="39" t="str">
        <f aca="false">IF(L43="","",RANK(L43,$L$5:$L$54)+COUNTIF($L$5:L43,L43)-1)</f>
        <v/>
      </c>
      <c r="N43" s="14"/>
      <c r="O43" s="13"/>
      <c r="P43" s="13"/>
      <c r="Q43" s="53" t="str">
        <f aca="false">IF(G43="Now",M43,"")</f>
        <v/>
      </c>
      <c r="R43" s="53" t="str">
        <f aca="false">IF(G43="Next",M43,"")</f>
        <v/>
      </c>
      <c r="S43" s="53" t="str">
        <f aca="false">IF(G43="Later",M43,"")</f>
        <v/>
      </c>
    </row>
    <row r="44" customFormat="false" ht="19.5" hidden="false" customHeight="true" outlineLevel="0" collapsed="false">
      <c r="A44" s="14"/>
      <c r="B44" s="13"/>
      <c r="C44" s="13"/>
      <c r="D44" s="13"/>
      <c r="E44" s="13"/>
      <c r="F44" s="13"/>
      <c r="G44" s="14"/>
      <c r="H44" s="14"/>
      <c r="I44" s="14"/>
      <c r="J44" s="14"/>
      <c r="K44" s="39" t="str">
        <f aca="false">IF(I44="","",IF(I44="S",1,IF(I44="M",2,IF(I44="L",3,IF(I44="XL",5,"")))))</f>
        <v/>
      </c>
      <c r="L44" s="52" t="str">
        <f aca="false">IF(OR(J44="",K44=""),"",ROUND(J44/K44,2))</f>
        <v/>
      </c>
      <c r="M44" s="39" t="str">
        <f aca="false">IF(L44="","",RANK(L44,$L$5:$L$54)+COUNTIF($L$5:L44,L44)-1)</f>
        <v/>
      </c>
      <c r="N44" s="14"/>
      <c r="O44" s="13"/>
      <c r="P44" s="13"/>
      <c r="Q44" s="53" t="str">
        <f aca="false">IF(G44="Now",M44,"")</f>
        <v/>
      </c>
      <c r="R44" s="53" t="str">
        <f aca="false">IF(G44="Next",M44,"")</f>
        <v/>
      </c>
      <c r="S44" s="53" t="str">
        <f aca="false">IF(G44="Later",M44,"")</f>
        <v/>
      </c>
    </row>
    <row r="45" customFormat="false" ht="19.5" hidden="false" customHeight="true" outlineLevel="0" collapsed="false">
      <c r="A45" s="14"/>
      <c r="B45" s="13"/>
      <c r="C45" s="13"/>
      <c r="D45" s="13"/>
      <c r="E45" s="13"/>
      <c r="F45" s="13"/>
      <c r="G45" s="14"/>
      <c r="H45" s="14"/>
      <c r="I45" s="14"/>
      <c r="J45" s="14"/>
      <c r="K45" s="39" t="str">
        <f aca="false">IF(I45="","",IF(I45="S",1,IF(I45="M",2,IF(I45="L",3,IF(I45="XL",5,"")))))</f>
        <v/>
      </c>
      <c r="L45" s="52" t="str">
        <f aca="false">IF(OR(J45="",K45=""),"",ROUND(J45/K45,2))</f>
        <v/>
      </c>
      <c r="M45" s="39" t="str">
        <f aca="false">IF(L45="","",RANK(L45,$L$5:$L$54)+COUNTIF($L$5:L45,L45)-1)</f>
        <v/>
      </c>
      <c r="N45" s="14"/>
      <c r="O45" s="13"/>
      <c r="P45" s="13"/>
      <c r="Q45" s="53" t="str">
        <f aca="false">IF(G45="Now",M45,"")</f>
        <v/>
      </c>
      <c r="R45" s="53" t="str">
        <f aca="false">IF(G45="Next",M45,"")</f>
        <v/>
      </c>
      <c r="S45" s="53" t="str">
        <f aca="false">IF(G45="Later",M45,"")</f>
        <v/>
      </c>
    </row>
    <row r="46" customFormat="false" ht="19.5" hidden="false" customHeight="true" outlineLevel="0" collapsed="false">
      <c r="A46" s="14"/>
      <c r="B46" s="13"/>
      <c r="C46" s="13"/>
      <c r="D46" s="13"/>
      <c r="E46" s="13"/>
      <c r="F46" s="13"/>
      <c r="G46" s="14"/>
      <c r="H46" s="14"/>
      <c r="I46" s="14"/>
      <c r="J46" s="14"/>
      <c r="K46" s="39" t="str">
        <f aca="false">IF(I46="","",IF(I46="S",1,IF(I46="M",2,IF(I46="L",3,IF(I46="XL",5,"")))))</f>
        <v/>
      </c>
      <c r="L46" s="52" t="str">
        <f aca="false">IF(OR(J46="",K46=""),"",ROUND(J46/K46,2))</f>
        <v/>
      </c>
      <c r="M46" s="39" t="str">
        <f aca="false">IF(L46="","",RANK(L46,$L$5:$L$54)+COUNTIF($L$5:L46,L46)-1)</f>
        <v/>
      </c>
      <c r="N46" s="14"/>
      <c r="O46" s="13"/>
      <c r="P46" s="13"/>
      <c r="Q46" s="53" t="str">
        <f aca="false">IF(G46="Now",M46,"")</f>
        <v/>
      </c>
      <c r="R46" s="53" t="str">
        <f aca="false">IF(G46="Next",M46,"")</f>
        <v/>
      </c>
      <c r="S46" s="53" t="str">
        <f aca="false">IF(G46="Later",M46,"")</f>
        <v/>
      </c>
    </row>
    <row r="47" customFormat="false" ht="19.5" hidden="false" customHeight="true" outlineLevel="0" collapsed="false">
      <c r="A47" s="14"/>
      <c r="B47" s="13"/>
      <c r="C47" s="13"/>
      <c r="D47" s="13"/>
      <c r="E47" s="13"/>
      <c r="F47" s="13"/>
      <c r="G47" s="14"/>
      <c r="H47" s="14"/>
      <c r="I47" s="14"/>
      <c r="J47" s="14"/>
      <c r="K47" s="39" t="str">
        <f aca="false">IF(I47="","",IF(I47="S",1,IF(I47="M",2,IF(I47="L",3,IF(I47="XL",5,"")))))</f>
        <v/>
      </c>
      <c r="L47" s="52" t="str">
        <f aca="false">IF(OR(J47="",K47=""),"",ROUND(J47/K47,2))</f>
        <v/>
      </c>
      <c r="M47" s="39" t="str">
        <f aca="false">IF(L47="","",RANK(L47,$L$5:$L$54)+COUNTIF($L$5:L47,L47)-1)</f>
        <v/>
      </c>
      <c r="N47" s="14"/>
      <c r="O47" s="13"/>
      <c r="P47" s="13"/>
      <c r="Q47" s="53" t="str">
        <f aca="false">IF(G47="Now",M47,"")</f>
        <v/>
      </c>
      <c r="R47" s="53" t="str">
        <f aca="false">IF(G47="Next",M47,"")</f>
        <v/>
      </c>
      <c r="S47" s="53" t="str">
        <f aca="false">IF(G47="Later",M47,"")</f>
        <v/>
      </c>
    </row>
    <row r="48" customFormat="false" ht="19.5" hidden="false" customHeight="true" outlineLevel="0" collapsed="false">
      <c r="A48" s="14"/>
      <c r="B48" s="13"/>
      <c r="C48" s="13"/>
      <c r="D48" s="13"/>
      <c r="E48" s="13"/>
      <c r="F48" s="13"/>
      <c r="G48" s="14"/>
      <c r="H48" s="14"/>
      <c r="I48" s="14"/>
      <c r="J48" s="14"/>
      <c r="K48" s="39" t="str">
        <f aca="false">IF(I48="","",IF(I48="S",1,IF(I48="M",2,IF(I48="L",3,IF(I48="XL",5,"")))))</f>
        <v/>
      </c>
      <c r="L48" s="52" t="str">
        <f aca="false">IF(OR(J48="",K48=""),"",ROUND(J48/K48,2))</f>
        <v/>
      </c>
      <c r="M48" s="39" t="str">
        <f aca="false">IF(L48="","",RANK(L48,$L$5:$L$54)+COUNTIF($L$5:L48,L48)-1)</f>
        <v/>
      </c>
      <c r="N48" s="14"/>
      <c r="O48" s="13"/>
      <c r="P48" s="13"/>
      <c r="Q48" s="53" t="str">
        <f aca="false">IF(G48="Now",M48,"")</f>
        <v/>
      </c>
      <c r="R48" s="53" t="str">
        <f aca="false">IF(G48="Next",M48,"")</f>
        <v/>
      </c>
      <c r="S48" s="53" t="str">
        <f aca="false">IF(G48="Later",M48,"")</f>
        <v/>
      </c>
    </row>
    <row r="49" customFormat="false" ht="19.5" hidden="false" customHeight="true" outlineLevel="0" collapsed="false">
      <c r="A49" s="14"/>
      <c r="B49" s="13"/>
      <c r="C49" s="13"/>
      <c r="D49" s="13"/>
      <c r="E49" s="13"/>
      <c r="F49" s="13"/>
      <c r="G49" s="14"/>
      <c r="H49" s="14"/>
      <c r="I49" s="14"/>
      <c r="J49" s="14"/>
      <c r="K49" s="39" t="str">
        <f aca="false">IF(I49="","",IF(I49="S",1,IF(I49="M",2,IF(I49="L",3,IF(I49="XL",5,"")))))</f>
        <v/>
      </c>
      <c r="L49" s="52" t="str">
        <f aca="false">IF(OR(J49="",K49=""),"",ROUND(J49/K49,2))</f>
        <v/>
      </c>
      <c r="M49" s="39" t="str">
        <f aca="false">IF(L49="","",RANK(L49,$L$5:$L$54)+COUNTIF($L$5:L49,L49)-1)</f>
        <v/>
      </c>
      <c r="N49" s="14"/>
      <c r="O49" s="13"/>
      <c r="P49" s="13"/>
      <c r="Q49" s="53" t="str">
        <f aca="false">IF(G49="Now",M49,"")</f>
        <v/>
      </c>
      <c r="R49" s="53" t="str">
        <f aca="false">IF(G49="Next",M49,"")</f>
        <v/>
      </c>
      <c r="S49" s="53" t="str">
        <f aca="false">IF(G49="Later",M49,"")</f>
        <v/>
      </c>
    </row>
    <row r="50" customFormat="false" ht="19.5" hidden="false" customHeight="true" outlineLevel="0" collapsed="false">
      <c r="A50" s="14"/>
      <c r="B50" s="13"/>
      <c r="C50" s="13"/>
      <c r="D50" s="13"/>
      <c r="E50" s="13"/>
      <c r="F50" s="13"/>
      <c r="G50" s="14"/>
      <c r="H50" s="14"/>
      <c r="I50" s="14"/>
      <c r="J50" s="14"/>
      <c r="K50" s="39" t="str">
        <f aca="false">IF(I50="","",IF(I50="S",1,IF(I50="M",2,IF(I50="L",3,IF(I50="XL",5,"")))))</f>
        <v/>
      </c>
      <c r="L50" s="52" t="str">
        <f aca="false">IF(OR(J50="",K50=""),"",ROUND(J50/K50,2))</f>
        <v/>
      </c>
      <c r="M50" s="39" t="str">
        <f aca="false">IF(L50="","",RANK(L50,$L$5:$L$54)+COUNTIF($L$5:L50,L50)-1)</f>
        <v/>
      </c>
      <c r="N50" s="14"/>
      <c r="O50" s="13"/>
      <c r="P50" s="13"/>
      <c r="Q50" s="53" t="str">
        <f aca="false">IF(G50="Now",M50,"")</f>
        <v/>
      </c>
      <c r="R50" s="53" t="str">
        <f aca="false">IF(G50="Next",M50,"")</f>
        <v/>
      </c>
      <c r="S50" s="53" t="str">
        <f aca="false">IF(G50="Later",M50,"")</f>
        <v/>
      </c>
    </row>
    <row r="51" customFormat="false" ht="19.5" hidden="false" customHeight="true" outlineLevel="0" collapsed="false">
      <c r="A51" s="14"/>
      <c r="B51" s="13"/>
      <c r="C51" s="13"/>
      <c r="D51" s="13"/>
      <c r="E51" s="13"/>
      <c r="F51" s="13"/>
      <c r="G51" s="14"/>
      <c r="H51" s="14"/>
      <c r="I51" s="14"/>
      <c r="J51" s="14"/>
      <c r="K51" s="39" t="str">
        <f aca="false">IF(I51="","",IF(I51="S",1,IF(I51="M",2,IF(I51="L",3,IF(I51="XL",5,"")))))</f>
        <v/>
      </c>
      <c r="L51" s="52" t="str">
        <f aca="false">IF(OR(J51="",K51=""),"",ROUND(J51/K51,2))</f>
        <v/>
      </c>
      <c r="M51" s="39" t="str">
        <f aca="false">IF(L51="","",RANK(L51,$L$5:$L$54)+COUNTIF($L$5:L51,L51)-1)</f>
        <v/>
      </c>
      <c r="N51" s="14"/>
      <c r="O51" s="13"/>
      <c r="P51" s="13"/>
      <c r="Q51" s="53" t="str">
        <f aca="false">IF(G51="Now",M51,"")</f>
        <v/>
      </c>
      <c r="R51" s="53" t="str">
        <f aca="false">IF(G51="Next",M51,"")</f>
        <v/>
      </c>
      <c r="S51" s="53" t="str">
        <f aca="false">IF(G51="Later",M51,"")</f>
        <v/>
      </c>
    </row>
    <row r="52" customFormat="false" ht="19.5" hidden="false" customHeight="true" outlineLevel="0" collapsed="false">
      <c r="A52" s="14"/>
      <c r="B52" s="13"/>
      <c r="C52" s="13"/>
      <c r="D52" s="13"/>
      <c r="E52" s="13"/>
      <c r="F52" s="13"/>
      <c r="G52" s="14"/>
      <c r="H52" s="14"/>
      <c r="I52" s="14"/>
      <c r="J52" s="14"/>
      <c r="K52" s="39" t="str">
        <f aca="false">IF(I52="","",IF(I52="S",1,IF(I52="M",2,IF(I52="L",3,IF(I52="XL",5,"")))))</f>
        <v/>
      </c>
      <c r="L52" s="52" t="str">
        <f aca="false">IF(OR(J52="",K52=""),"",ROUND(J52/K52,2))</f>
        <v/>
      </c>
      <c r="M52" s="39" t="str">
        <f aca="false">IF(L52="","",RANK(L52,$L$5:$L$54)+COUNTIF($L$5:L52,L52)-1)</f>
        <v/>
      </c>
      <c r="N52" s="14"/>
      <c r="O52" s="13"/>
      <c r="P52" s="13"/>
      <c r="Q52" s="53" t="str">
        <f aca="false">IF(G52="Now",M52,"")</f>
        <v/>
      </c>
      <c r="R52" s="53" t="str">
        <f aca="false">IF(G52="Next",M52,"")</f>
        <v/>
      </c>
      <c r="S52" s="53" t="str">
        <f aca="false">IF(G52="Later",M52,"")</f>
        <v/>
      </c>
    </row>
    <row r="53" customFormat="false" ht="19.5" hidden="false" customHeight="true" outlineLevel="0" collapsed="false">
      <c r="A53" s="14"/>
      <c r="B53" s="13"/>
      <c r="C53" s="13"/>
      <c r="D53" s="13"/>
      <c r="E53" s="13"/>
      <c r="F53" s="13"/>
      <c r="G53" s="14"/>
      <c r="H53" s="14"/>
      <c r="I53" s="14"/>
      <c r="J53" s="14"/>
      <c r="K53" s="39" t="str">
        <f aca="false">IF(I53="","",IF(I53="S",1,IF(I53="M",2,IF(I53="L",3,IF(I53="XL",5,"")))))</f>
        <v/>
      </c>
      <c r="L53" s="52" t="str">
        <f aca="false">IF(OR(J53="",K53=""),"",ROUND(J53/K53,2))</f>
        <v/>
      </c>
      <c r="M53" s="39" t="str">
        <f aca="false">IF(L53="","",RANK(L53,$L$5:$L$54)+COUNTIF($L$5:L53,L53)-1)</f>
        <v/>
      </c>
      <c r="N53" s="14"/>
      <c r="O53" s="13"/>
      <c r="P53" s="13"/>
      <c r="Q53" s="53" t="str">
        <f aca="false">IF(G53="Now",M53,"")</f>
        <v/>
      </c>
      <c r="R53" s="53" t="str">
        <f aca="false">IF(G53="Next",M53,"")</f>
        <v/>
      </c>
      <c r="S53" s="53" t="str">
        <f aca="false">IF(G53="Later",M53,"")</f>
        <v/>
      </c>
    </row>
    <row r="54" customFormat="false" ht="19.5" hidden="false" customHeight="true" outlineLevel="0" collapsed="false">
      <c r="A54" s="14"/>
      <c r="B54" s="13"/>
      <c r="C54" s="13"/>
      <c r="D54" s="13"/>
      <c r="E54" s="13"/>
      <c r="F54" s="13"/>
      <c r="G54" s="14"/>
      <c r="H54" s="14"/>
      <c r="I54" s="14"/>
      <c r="J54" s="14"/>
      <c r="K54" s="39" t="str">
        <f aca="false">IF(I54="","",IF(I54="S",1,IF(I54="M",2,IF(I54="L",3,IF(I54="XL",5,"")))))</f>
        <v/>
      </c>
      <c r="L54" s="52" t="str">
        <f aca="false">IF(OR(J54="",K54=""),"",ROUND(J54/K54,2))</f>
        <v/>
      </c>
      <c r="M54" s="39" t="str">
        <f aca="false">IF(L54="","",RANK(L54,$L$5:$L$54)+COUNTIF($L$5:L54,L54)-1)</f>
        <v/>
      </c>
      <c r="N54" s="14"/>
      <c r="O54" s="13"/>
      <c r="P54" s="13"/>
      <c r="Q54" s="53" t="str">
        <f aca="false">IF(G54="Now",M54,"")</f>
        <v/>
      </c>
      <c r="R54" s="53" t="str">
        <f aca="false">IF(G54="Next",M54,"")</f>
        <v/>
      </c>
      <c r="S54" s="53" t="str">
        <f aca="false">IF(G54="Later",M54,"")</f>
        <v/>
      </c>
    </row>
  </sheetData>
  <autoFilter ref="A4:P16"/>
  <conditionalFormatting sqref="G5:G54">
    <cfRule type="cellIs" priority="2" operator="equal" aboveAverage="0" equalAverage="0" bottom="0" percent="0" rank="0" text="" dxfId="1">
      <formula>"Now"</formula>
    </cfRule>
    <cfRule type="cellIs" priority="3" operator="equal" aboveAverage="0" equalAverage="0" bottom="0" percent="0" rank="0" text="" dxfId="3">
      <formula>"Next"</formula>
    </cfRule>
    <cfRule type="cellIs" priority="4" operator="equal" aboveAverage="0" equalAverage="0" bottom="0" percent="0" rank="0" text="" dxfId="2">
      <formula>"Later"</formula>
    </cfRule>
  </conditionalFormatting>
  <conditionalFormatting sqref="N5:N54">
    <cfRule type="cellIs" priority="5" operator="equal" aboveAverage="0" equalAverage="0" bottom="0" percent="0" rank="0" text="" dxfId="4">
      <formula>"Planned"</formula>
    </cfRule>
    <cfRule type="cellIs" priority="6" operator="equal" aboveAverage="0" equalAverage="0" bottom="0" percent="0" rank="0" text="" dxfId="3">
      <formula>"Discovery"</formula>
    </cfRule>
    <cfRule type="cellIs" priority="7" operator="equal" aboveAverage="0" equalAverage="0" bottom="0" percent="0" rank="0" text="" dxfId="2">
      <formula>"Idea"</formula>
    </cfRule>
    <cfRule type="cellIs" priority="8" operator="equal" aboveAverage="0" equalAverage="0" bottom="0" percent="0" rank="0" text="" dxfId="0">
      <formula>"In Delivery"</formula>
    </cfRule>
    <cfRule type="cellIs" priority="9" operator="equal" aboveAverage="0" equalAverage="0" bottom="0" percent="0" rank="0" text="" dxfId="0">
      <formula>"Done"</formula>
    </cfRule>
  </conditionalFormatting>
  <dataValidations count="4">
    <dataValidation allowBlank="true" errorStyle="stop" operator="between" showDropDown="false" showErrorMessage="false" showInputMessage="false" sqref="G5:G54" type="list">
      <formula1>"Now,Next,Later"</formula1>
      <formula2>0</formula2>
    </dataValidation>
    <dataValidation allowBlank="true" errorStyle="stop" operator="between" showDropDown="false" showErrorMessage="false" showInputMessage="false" sqref="I5:I54" type="list">
      <formula1>"S,M,L,XL"</formula1>
      <formula2>0</formula2>
    </dataValidation>
    <dataValidation allowBlank="true" errorStyle="stop" operator="between" showDropDown="false" showErrorMessage="false" showInputMessage="false" sqref="J5:J54" type="list">
      <formula1>"1,2,3,4,5"</formula1>
      <formula2>0</formula2>
    </dataValidation>
    <dataValidation allowBlank="true" errorStyle="stop" operator="between" showDropDown="false" showErrorMessage="false" showInputMessage="false" sqref="N5:N54" type="list">
      <formula1>"Idea,Discovery,Planned,In Delivery,Done,Dropped"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2"/>
    <col collapsed="false" customWidth="true" hidden="false" outlineLevel="0" max="3" min="3" style="0" width="32"/>
    <col collapsed="false" customWidth="true" hidden="false" outlineLevel="0" max="4" min="4" style="0" width="22"/>
    <col collapsed="false" customWidth="true" hidden="false" outlineLevel="0" max="5" min="5" style="0" width="24"/>
    <col collapsed="false" customWidth="true" hidden="false" outlineLevel="0" max="7" min="6" style="0" width="12"/>
    <col collapsed="false" customWidth="true" hidden="false" outlineLevel="0" max="8" min="8" style="0" width="42"/>
  </cols>
  <sheetData>
    <row r="1" customFormat="false" ht="19.7" hidden="false" customHeight="false" outlineLevel="0" collapsed="false">
      <c r="A1" s="35" t="s">
        <v>176</v>
      </c>
    </row>
    <row r="2" customFormat="false" ht="15" hidden="false" customHeight="false" outlineLevel="0" collapsed="false">
      <c r="A2" s="17" t="s">
        <v>508</v>
      </c>
    </row>
    <row r="3" customFormat="false" ht="15" hidden="false" customHeight="false" outlineLevel="0" collapsed="false">
      <c r="A3" s="36" t="s">
        <v>509</v>
      </c>
    </row>
    <row r="4" customFormat="false" ht="31.5" hidden="false" customHeight="true" outlineLevel="0" collapsed="false">
      <c r="A4" s="37" t="s">
        <v>95</v>
      </c>
      <c r="B4" s="37" t="s">
        <v>79</v>
      </c>
      <c r="C4" s="37" t="s">
        <v>510</v>
      </c>
      <c r="D4" s="37" t="s">
        <v>511</v>
      </c>
      <c r="E4" s="37" t="s">
        <v>512</v>
      </c>
      <c r="F4" s="37" t="s">
        <v>513</v>
      </c>
      <c r="G4" s="37" t="s">
        <v>122</v>
      </c>
      <c r="H4" s="37" t="s">
        <v>514</v>
      </c>
    </row>
    <row r="5" customFormat="false" ht="31.5" hidden="false" customHeight="true" outlineLevel="0" collapsed="false">
      <c r="A5" s="40" t="s">
        <v>515</v>
      </c>
      <c r="B5" s="14" t="s">
        <v>84</v>
      </c>
      <c r="C5" s="12" t="s">
        <v>516</v>
      </c>
      <c r="D5" s="13" t="s">
        <v>517</v>
      </c>
      <c r="E5" s="13" t="s">
        <v>518</v>
      </c>
      <c r="F5" s="15" t="n">
        <v>46402</v>
      </c>
      <c r="G5" s="14" t="s">
        <v>519</v>
      </c>
      <c r="H5" s="13" t="s">
        <v>520</v>
      </c>
    </row>
    <row r="6" customFormat="false" ht="31.5" hidden="false" customHeight="true" outlineLevel="0" collapsed="false">
      <c r="A6" s="40" t="s">
        <v>521</v>
      </c>
      <c r="B6" s="14" t="s">
        <v>84</v>
      </c>
      <c r="C6" s="12" t="s">
        <v>522</v>
      </c>
      <c r="D6" s="13" t="s">
        <v>103</v>
      </c>
      <c r="E6" s="13" t="s">
        <v>175</v>
      </c>
      <c r="F6" s="15" t="n">
        <v>46409</v>
      </c>
      <c r="G6" s="14" t="s">
        <v>519</v>
      </c>
      <c r="H6" s="13" t="s">
        <v>523</v>
      </c>
    </row>
    <row r="7" customFormat="false" ht="31.5" hidden="false" customHeight="true" outlineLevel="0" collapsed="false">
      <c r="A7" s="40" t="s">
        <v>524</v>
      </c>
      <c r="B7" s="14" t="s">
        <v>84</v>
      </c>
      <c r="C7" s="12" t="s">
        <v>525</v>
      </c>
      <c r="D7" s="13" t="s">
        <v>103</v>
      </c>
      <c r="E7" s="13" t="s">
        <v>175</v>
      </c>
      <c r="F7" s="15" t="n">
        <v>46409</v>
      </c>
      <c r="G7" s="14" t="s">
        <v>519</v>
      </c>
      <c r="H7" s="13" t="s">
        <v>526</v>
      </c>
    </row>
    <row r="8" customFormat="false" ht="31.5" hidden="false" customHeight="true" outlineLevel="0" collapsed="false">
      <c r="A8" s="40" t="s">
        <v>527</v>
      </c>
      <c r="B8" s="14" t="s">
        <v>85</v>
      </c>
      <c r="C8" s="12" t="s">
        <v>528</v>
      </c>
      <c r="D8" s="13" t="s">
        <v>529</v>
      </c>
      <c r="E8" s="13" t="s">
        <v>530</v>
      </c>
      <c r="F8" s="15" t="n">
        <v>46458</v>
      </c>
      <c r="G8" s="14" t="s">
        <v>519</v>
      </c>
      <c r="H8" s="13" t="s">
        <v>531</v>
      </c>
    </row>
    <row r="9" customFormat="false" ht="31.5" hidden="false" customHeight="true" outlineLevel="0" collapsed="false">
      <c r="A9" s="40" t="s">
        <v>532</v>
      </c>
      <c r="B9" s="14" t="s">
        <v>85</v>
      </c>
      <c r="C9" s="12" t="s">
        <v>533</v>
      </c>
      <c r="D9" s="13" t="s">
        <v>109</v>
      </c>
      <c r="E9" s="13" t="s">
        <v>534</v>
      </c>
      <c r="F9" s="15" t="n">
        <v>46416</v>
      </c>
      <c r="G9" s="14" t="s">
        <v>519</v>
      </c>
      <c r="H9" s="13" t="s">
        <v>535</v>
      </c>
    </row>
    <row r="10" customFormat="false" ht="31.5" hidden="false" customHeight="true" outlineLevel="0" collapsed="false">
      <c r="A10" s="40" t="s">
        <v>536</v>
      </c>
      <c r="B10" s="14" t="s">
        <v>86</v>
      </c>
      <c r="C10" s="12" t="s">
        <v>537</v>
      </c>
      <c r="D10" s="13" t="s">
        <v>115</v>
      </c>
      <c r="E10" s="13" t="s">
        <v>538</v>
      </c>
      <c r="F10" s="15" t="n">
        <v>46444</v>
      </c>
      <c r="G10" s="14" t="s">
        <v>519</v>
      </c>
      <c r="H10" s="13" t="s">
        <v>539</v>
      </c>
    </row>
    <row r="11" customFormat="false" ht="31.5" hidden="false" customHeight="true" outlineLevel="0" collapsed="false">
      <c r="A11" s="40" t="s">
        <v>540</v>
      </c>
      <c r="B11" s="14" t="s">
        <v>86</v>
      </c>
      <c r="C11" s="12" t="s">
        <v>541</v>
      </c>
      <c r="D11" s="13" t="s">
        <v>115</v>
      </c>
      <c r="E11" s="13" t="s">
        <v>542</v>
      </c>
      <c r="F11" s="15" t="n">
        <v>46444</v>
      </c>
      <c r="G11" s="14" t="s">
        <v>519</v>
      </c>
      <c r="H11" s="13" t="s">
        <v>543</v>
      </c>
    </row>
    <row r="12" customFormat="false" ht="31.5" hidden="false" customHeight="true" outlineLevel="0" collapsed="false">
      <c r="A12" s="40" t="s">
        <v>544</v>
      </c>
      <c r="B12" s="14" t="s">
        <v>87</v>
      </c>
      <c r="C12" s="12" t="s">
        <v>545</v>
      </c>
      <c r="D12" s="13" t="s">
        <v>103</v>
      </c>
      <c r="E12" s="13" t="s">
        <v>546</v>
      </c>
      <c r="F12" s="15" t="n">
        <v>46409</v>
      </c>
      <c r="G12" s="14" t="s">
        <v>519</v>
      </c>
      <c r="H12" s="13" t="s">
        <v>547</v>
      </c>
    </row>
    <row r="13" customFormat="false" ht="31.5" hidden="false" customHeight="true" outlineLevel="0" collapsed="false">
      <c r="A13" s="40" t="s">
        <v>548</v>
      </c>
      <c r="B13" s="14" t="s">
        <v>87</v>
      </c>
      <c r="C13" s="12" t="s">
        <v>549</v>
      </c>
      <c r="D13" s="13" t="s">
        <v>109</v>
      </c>
      <c r="E13" s="13" t="s">
        <v>550</v>
      </c>
      <c r="F13" s="15" t="n">
        <v>46416</v>
      </c>
      <c r="G13" s="14" t="s">
        <v>519</v>
      </c>
      <c r="H13" s="13" t="s">
        <v>551</v>
      </c>
    </row>
    <row r="14" customFormat="false" ht="31.5" hidden="false" customHeight="true" outlineLevel="0" collapsed="false">
      <c r="A14" s="40" t="s">
        <v>552</v>
      </c>
      <c r="B14" s="14" t="s">
        <v>88</v>
      </c>
      <c r="C14" s="12" t="s">
        <v>553</v>
      </c>
      <c r="D14" s="13" t="s">
        <v>517</v>
      </c>
      <c r="E14" s="13" t="s">
        <v>554</v>
      </c>
      <c r="F14" s="15" t="n">
        <v>46430</v>
      </c>
      <c r="G14" s="14" t="s">
        <v>519</v>
      </c>
      <c r="H14" s="13" t="s">
        <v>555</v>
      </c>
    </row>
    <row r="15" customFormat="false" ht="31.5" hidden="false" customHeight="true" outlineLevel="0" collapsed="false">
      <c r="A15" s="40" t="s">
        <v>556</v>
      </c>
      <c r="B15" s="14" t="s">
        <v>89</v>
      </c>
      <c r="C15" s="12" t="s">
        <v>557</v>
      </c>
      <c r="D15" s="13" t="s">
        <v>162</v>
      </c>
      <c r="E15" s="13" t="s">
        <v>558</v>
      </c>
      <c r="F15" s="15" t="n">
        <v>46395</v>
      </c>
      <c r="G15" s="14" t="s">
        <v>559</v>
      </c>
      <c r="H15" s="13" t="s">
        <v>560</v>
      </c>
    </row>
    <row r="16" customFormat="false" ht="31.5" hidden="false" customHeight="true" outlineLevel="0" collapsed="false">
      <c r="A16" s="40" t="s">
        <v>561</v>
      </c>
      <c r="B16" s="14" t="s">
        <v>90</v>
      </c>
      <c r="C16" s="12" t="s">
        <v>562</v>
      </c>
      <c r="D16" s="13" t="s">
        <v>563</v>
      </c>
      <c r="E16" s="13" t="s">
        <v>293</v>
      </c>
      <c r="F16" s="15" t="n">
        <v>46409</v>
      </c>
      <c r="G16" s="14" t="s">
        <v>519</v>
      </c>
      <c r="H16" s="13" t="s">
        <v>564</v>
      </c>
    </row>
    <row r="17" customFormat="false" ht="19.5" hidden="false" customHeight="true" outlineLevel="0" collapsed="false">
      <c r="A17" s="14"/>
      <c r="B17" s="14"/>
      <c r="C17" s="13"/>
      <c r="D17" s="13"/>
      <c r="E17" s="13"/>
      <c r="F17" s="15"/>
      <c r="G17" s="14"/>
      <c r="H17" s="13"/>
    </row>
    <row r="18" customFormat="false" ht="19.5" hidden="false" customHeight="true" outlineLevel="0" collapsed="false">
      <c r="A18" s="14"/>
      <c r="B18" s="14"/>
      <c r="C18" s="13"/>
      <c r="D18" s="13"/>
      <c r="E18" s="13"/>
      <c r="F18" s="15"/>
      <c r="G18" s="14"/>
      <c r="H18" s="13"/>
    </row>
    <row r="19" customFormat="false" ht="19.5" hidden="false" customHeight="true" outlineLevel="0" collapsed="false">
      <c r="A19" s="14"/>
      <c r="B19" s="14"/>
      <c r="C19" s="13"/>
      <c r="D19" s="13"/>
      <c r="E19" s="13"/>
      <c r="F19" s="15"/>
      <c r="G19" s="14"/>
      <c r="H19" s="13"/>
    </row>
    <row r="20" customFormat="false" ht="19.5" hidden="false" customHeight="true" outlineLevel="0" collapsed="false">
      <c r="A20" s="14"/>
      <c r="B20" s="14"/>
      <c r="C20" s="13"/>
      <c r="D20" s="13"/>
      <c r="E20" s="13"/>
      <c r="F20" s="15"/>
      <c r="G20" s="14"/>
      <c r="H20" s="13"/>
    </row>
    <row r="21" customFormat="false" ht="19.5" hidden="false" customHeight="true" outlineLevel="0" collapsed="false">
      <c r="A21" s="14"/>
      <c r="B21" s="14"/>
      <c r="C21" s="13"/>
      <c r="D21" s="13"/>
      <c r="E21" s="13"/>
      <c r="F21" s="15"/>
      <c r="G21" s="14"/>
      <c r="H21" s="13"/>
    </row>
    <row r="22" customFormat="false" ht="19.5" hidden="false" customHeight="true" outlineLevel="0" collapsed="false">
      <c r="A22" s="14"/>
      <c r="B22" s="14"/>
      <c r="C22" s="13"/>
      <c r="D22" s="13"/>
      <c r="E22" s="13"/>
      <c r="F22" s="15"/>
      <c r="G22" s="14"/>
      <c r="H22" s="13"/>
    </row>
    <row r="23" customFormat="false" ht="19.5" hidden="false" customHeight="true" outlineLevel="0" collapsed="false">
      <c r="A23" s="14"/>
      <c r="B23" s="14"/>
      <c r="C23" s="13"/>
      <c r="D23" s="13"/>
      <c r="E23" s="13"/>
      <c r="F23" s="15"/>
      <c r="G23" s="14"/>
      <c r="H23" s="13"/>
    </row>
    <row r="24" customFormat="false" ht="19.5" hidden="false" customHeight="true" outlineLevel="0" collapsed="false">
      <c r="A24" s="14"/>
      <c r="B24" s="14"/>
      <c r="C24" s="13"/>
      <c r="D24" s="13"/>
      <c r="E24" s="13"/>
      <c r="F24" s="15"/>
      <c r="G24" s="14"/>
      <c r="H24" s="13"/>
    </row>
    <row r="25" customFormat="false" ht="19.5" hidden="false" customHeight="true" outlineLevel="0" collapsed="false">
      <c r="A25" s="14"/>
      <c r="B25" s="14"/>
      <c r="C25" s="13"/>
      <c r="D25" s="13"/>
      <c r="E25" s="13"/>
      <c r="F25" s="15"/>
      <c r="G25" s="14"/>
      <c r="H25" s="13"/>
    </row>
    <row r="26" customFormat="false" ht="19.5" hidden="false" customHeight="true" outlineLevel="0" collapsed="false">
      <c r="A26" s="14"/>
      <c r="B26" s="14"/>
      <c r="C26" s="13"/>
      <c r="D26" s="13"/>
      <c r="E26" s="13"/>
      <c r="F26" s="15"/>
      <c r="G26" s="14"/>
      <c r="H26" s="13"/>
    </row>
    <row r="27" customFormat="false" ht="19.5" hidden="false" customHeight="true" outlineLevel="0" collapsed="false">
      <c r="A27" s="14"/>
      <c r="B27" s="14"/>
      <c r="C27" s="13"/>
      <c r="D27" s="13"/>
      <c r="E27" s="13"/>
      <c r="F27" s="15"/>
      <c r="G27" s="14"/>
      <c r="H27" s="13"/>
    </row>
    <row r="28" customFormat="false" ht="19.5" hidden="false" customHeight="true" outlineLevel="0" collapsed="false">
      <c r="A28" s="14"/>
      <c r="B28" s="14"/>
      <c r="C28" s="13"/>
      <c r="D28" s="13"/>
      <c r="E28" s="13"/>
      <c r="F28" s="15"/>
      <c r="G28" s="14"/>
      <c r="H28" s="13"/>
    </row>
    <row r="29" customFormat="false" ht="19.5" hidden="false" customHeight="true" outlineLevel="0" collapsed="false">
      <c r="A29" s="14"/>
      <c r="B29" s="14"/>
      <c r="C29" s="13"/>
      <c r="D29" s="13"/>
      <c r="E29" s="13"/>
      <c r="F29" s="15"/>
      <c r="G29" s="14"/>
      <c r="H29" s="13"/>
    </row>
    <row r="30" customFormat="false" ht="19.5" hidden="false" customHeight="true" outlineLevel="0" collapsed="false">
      <c r="A30" s="14"/>
      <c r="B30" s="14"/>
      <c r="C30" s="13"/>
      <c r="D30" s="13"/>
      <c r="E30" s="13"/>
      <c r="F30" s="15"/>
      <c r="G30" s="14"/>
      <c r="H30" s="13"/>
    </row>
    <row r="31" customFormat="false" ht="19.5" hidden="false" customHeight="true" outlineLevel="0" collapsed="false">
      <c r="A31" s="14"/>
      <c r="B31" s="14"/>
      <c r="C31" s="13"/>
      <c r="D31" s="13"/>
      <c r="E31" s="13"/>
      <c r="F31" s="15"/>
      <c r="G31" s="14"/>
      <c r="H31" s="13"/>
    </row>
    <row r="32" customFormat="false" ht="19.5" hidden="false" customHeight="true" outlineLevel="0" collapsed="false">
      <c r="A32" s="14"/>
      <c r="B32" s="14"/>
      <c r="C32" s="13"/>
      <c r="D32" s="13"/>
      <c r="E32" s="13"/>
      <c r="F32" s="15"/>
      <c r="G32" s="14"/>
      <c r="H32" s="13"/>
    </row>
    <row r="33" customFormat="false" ht="19.5" hidden="false" customHeight="true" outlineLevel="0" collapsed="false">
      <c r="A33" s="14"/>
      <c r="B33" s="14"/>
      <c r="C33" s="13"/>
      <c r="D33" s="13"/>
      <c r="E33" s="13"/>
      <c r="F33" s="15"/>
      <c r="G33" s="14"/>
      <c r="H33" s="13"/>
    </row>
    <row r="34" customFormat="false" ht="19.5" hidden="false" customHeight="true" outlineLevel="0" collapsed="false">
      <c r="A34" s="14"/>
      <c r="B34" s="14"/>
      <c r="C34" s="13"/>
      <c r="D34" s="13"/>
      <c r="E34" s="13"/>
      <c r="F34" s="15"/>
      <c r="G34" s="14"/>
      <c r="H34" s="13"/>
    </row>
    <row r="36" customFormat="false" ht="19.5" hidden="false" customHeight="true" outlineLevel="0" collapsed="false">
      <c r="A36" s="8" t="s">
        <v>565</v>
      </c>
      <c r="B36" s="9"/>
      <c r="C36" s="9"/>
      <c r="D36" s="9"/>
      <c r="E36" s="9"/>
      <c r="F36" s="9"/>
      <c r="G36" s="9"/>
      <c r="H36" s="9"/>
    </row>
    <row r="37" customFormat="false" ht="31.5" hidden="false" customHeight="true" outlineLevel="0" collapsed="false">
      <c r="A37" s="37" t="s">
        <v>566</v>
      </c>
      <c r="B37" s="37"/>
      <c r="C37" s="37" t="s">
        <v>38</v>
      </c>
      <c r="D37" s="37" t="s">
        <v>567</v>
      </c>
      <c r="E37" s="37"/>
      <c r="F37" s="37"/>
      <c r="G37" s="37" t="s">
        <v>568</v>
      </c>
      <c r="H37" s="37" t="s">
        <v>124</v>
      </c>
    </row>
    <row r="38" customFormat="false" ht="39.75" hidden="false" customHeight="true" outlineLevel="0" collapsed="false">
      <c r="A38" s="40" t="s">
        <v>569</v>
      </c>
      <c r="B38" s="40"/>
      <c r="C38" s="15" t="n">
        <v>46461</v>
      </c>
      <c r="D38" s="13" t="s">
        <v>570</v>
      </c>
      <c r="E38" s="13"/>
      <c r="F38" s="13"/>
      <c r="G38" s="13" t="s">
        <v>571</v>
      </c>
      <c r="H38" s="13" t="s">
        <v>162</v>
      </c>
    </row>
    <row r="39" customFormat="false" ht="39.75" hidden="false" customHeight="true" outlineLevel="0" collapsed="false">
      <c r="A39" s="40" t="s">
        <v>569</v>
      </c>
      <c r="B39" s="40"/>
      <c r="C39" s="15" t="n">
        <v>46535</v>
      </c>
      <c r="D39" s="13" t="s">
        <v>572</v>
      </c>
      <c r="E39" s="13"/>
      <c r="F39" s="13"/>
      <c r="G39" s="13" t="s">
        <v>573</v>
      </c>
      <c r="H39" s="13" t="s">
        <v>162</v>
      </c>
    </row>
    <row r="40" customFormat="false" ht="39.75" hidden="false" customHeight="true" outlineLevel="0" collapsed="false">
      <c r="A40" s="40" t="s">
        <v>574</v>
      </c>
      <c r="B40" s="40"/>
      <c r="C40" s="15" t="n">
        <v>46654</v>
      </c>
      <c r="D40" s="13" t="s">
        <v>575</v>
      </c>
      <c r="E40" s="13"/>
      <c r="F40" s="13"/>
      <c r="G40" s="13" t="s">
        <v>576</v>
      </c>
      <c r="H40" s="13" t="s">
        <v>162</v>
      </c>
    </row>
    <row r="41" customFormat="false" ht="39.75" hidden="false" customHeight="true" outlineLevel="0" collapsed="false">
      <c r="A41" s="40" t="s">
        <v>577</v>
      </c>
      <c r="B41" s="40"/>
      <c r="C41" s="15" t="n">
        <v>46738</v>
      </c>
      <c r="D41" s="13" t="s">
        <v>578</v>
      </c>
      <c r="E41" s="13"/>
      <c r="F41" s="13"/>
      <c r="G41" s="13" t="s">
        <v>579</v>
      </c>
      <c r="H41" s="13" t="s">
        <v>293</v>
      </c>
    </row>
  </sheetData>
  <mergeCells count="10">
    <mergeCell ref="A37:B37"/>
    <mergeCell ref="D37:F37"/>
    <mergeCell ref="A38:B38"/>
    <mergeCell ref="D38:F38"/>
    <mergeCell ref="A39:B39"/>
    <mergeCell ref="D39:F39"/>
    <mergeCell ref="A40:B40"/>
    <mergeCell ref="D40:F40"/>
    <mergeCell ref="A41:B41"/>
    <mergeCell ref="D41:F41"/>
  </mergeCells>
  <conditionalFormatting sqref="G5:G34">
    <cfRule type="cellIs" priority="2" operator="equal" aboveAverage="0" equalAverage="0" bottom="0" percent="0" rank="0" text="" dxfId="0">
      <formula>"Accepted"</formula>
    </cfRule>
    <cfRule type="cellIs" priority="3" operator="equal" aboveAverage="0" equalAverage="0" bottom="0" percent="0" rank="0" text="" dxfId="4">
      <formula>"In Progress"</formula>
    </cfRule>
    <cfRule type="cellIs" priority="4" operator="equal" aboveAverage="0" equalAverage="0" bottom="0" percent="0" rank="0" text="" dxfId="1">
      <formula>"At Risk"</formula>
    </cfRule>
    <cfRule type="cellIs" priority="5" operator="equal" aboveAverage="0" equalAverage="0" bottom="0" percent="0" rank="0" text="" dxfId="2">
      <formula>"Not Started"</formula>
    </cfRule>
  </conditionalFormatting>
  <dataValidations count="1">
    <dataValidation allowBlank="true" errorStyle="stop" operator="between" showDropDown="false" showErrorMessage="false" showInputMessage="false" sqref="G5:G34" type="list">
      <formula1>"Not Started,In Progress,Accepted,At Risk"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8"/>
    <col collapsed="false" customWidth="true" hidden="false" outlineLevel="0" max="3" min="3" style="0" width="12"/>
    <col collapsed="false" customWidth="true" hidden="false" outlineLevel="0" max="4" min="4" style="0" width="30"/>
    <col collapsed="false" customWidth="true" hidden="false" outlineLevel="0" max="5" min="5" style="0" width="32"/>
    <col collapsed="false" customWidth="true" hidden="false" outlineLevel="0" max="6" min="6" style="0" width="28"/>
    <col collapsed="false" customWidth="true" hidden="false" outlineLevel="0" max="7" min="7" style="0" width="18"/>
    <col collapsed="false" customWidth="true" hidden="false" outlineLevel="0" max="8" min="8" style="0" width="11"/>
    <col collapsed="false" customWidth="true" hidden="false" outlineLevel="0" max="9" min="9" style="0" width="9"/>
    <col collapsed="false" customWidth="true" hidden="true" outlineLevel="0" max="10" min="10" style="0" width="4"/>
  </cols>
  <sheetData>
    <row r="1" customFormat="false" ht="19.7" hidden="false" customHeight="false" outlineLevel="0" collapsed="false">
      <c r="A1" s="35" t="s">
        <v>580</v>
      </c>
    </row>
    <row r="2" customFormat="false" ht="15" hidden="false" customHeight="false" outlineLevel="0" collapsed="false">
      <c r="A2" s="17" t="s">
        <v>581</v>
      </c>
    </row>
    <row r="4" customFormat="false" ht="19.5" hidden="false" customHeight="true" outlineLevel="0" collapsed="false">
      <c r="A4" s="8" t="s">
        <v>582</v>
      </c>
      <c r="B4" s="9"/>
      <c r="C4" s="9"/>
      <c r="D4" s="9"/>
      <c r="E4" s="9"/>
      <c r="F4" s="9"/>
      <c r="G4" s="9"/>
      <c r="H4" s="9"/>
      <c r="I4" s="9"/>
    </row>
    <row r="5" customFormat="false" ht="31.5" hidden="false" customHeight="true" outlineLevel="0" collapsed="false">
      <c r="A5" s="37" t="s">
        <v>95</v>
      </c>
      <c r="B5" s="37" t="s">
        <v>74</v>
      </c>
      <c r="C5" s="37" t="s">
        <v>38</v>
      </c>
      <c r="D5" s="37" t="s">
        <v>14</v>
      </c>
      <c r="E5" s="37" t="s">
        <v>583</v>
      </c>
      <c r="F5" s="37" t="s">
        <v>76</v>
      </c>
      <c r="G5" s="37" t="s">
        <v>75</v>
      </c>
      <c r="H5" s="37" t="s">
        <v>122</v>
      </c>
      <c r="I5" s="38" t="s">
        <v>584</v>
      </c>
      <c r="J5" s="38" t="s">
        <v>585</v>
      </c>
    </row>
    <row r="6" customFormat="false" ht="31.5" hidden="false" customHeight="true" outlineLevel="0" collapsed="false">
      <c r="A6" s="40" t="s">
        <v>586</v>
      </c>
      <c r="B6" s="12" t="s">
        <v>587</v>
      </c>
      <c r="C6" s="15" t="n">
        <v>46360</v>
      </c>
      <c r="D6" s="13" t="s">
        <v>588</v>
      </c>
      <c r="E6" s="13" t="s">
        <v>589</v>
      </c>
      <c r="F6" s="13" t="s">
        <v>590</v>
      </c>
      <c r="G6" s="13" t="s">
        <v>298</v>
      </c>
      <c r="H6" s="14" t="s">
        <v>591</v>
      </c>
      <c r="I6" s="39" t="n">
        <f aca="false">IF(C6="","",C6-Cover!$C$7)</f>
        <v>85</v>
      </c>
      <c r="J6" s="54" t="n">
        <f aca="false">IF(AND(C6&lt;&gt;"",N(I6)&gt;=0,H6&lt;&gt;"Complete"),C6+ROW()/100000,"")</f>
        <v>46360.00006</v>
      </c>
    </row>
    <row r="7" customFormat="false" ht="31.5" hidden="false" customHeight="true" outlineLevel="0" collapsed="false">
      <c r="A7" s="40" t="s">
        <v>592</v>
      </c>
      <c r="B7" s="12" t="s">
        <v>593</v>
      </c>
      <c r="C7" s="15" t="n">
        <v>46409</v>
      </c>
      <c r="D7" s="13" t="s">
        <v>594</v>
      </c>
      <c r="E7" s="13" t="s">
        <v>595</v>
      </c>
      <c r="F7" s="13" t="s">
        <v>596</v>
      </c>
      <c r="G7" s="13" t="s">
        <v>103</v>
      </c>
      <c r="H7" s="14" t="s">
        <v>591</v>
      </c>
      <c r="I7" s="39" t="n">
        <f aca="false">IF(C7="","",C7-Cover!$C$7)</f>
        <v>134</v>
      </c>
      <c r="J7" s="54" t="n">
        <f aca="false">IF(AND(C7&lt;&gt;"",N(I7)&gt;=0,H7&lt;&gt;"Complete"),C7+ROW()/100000,"")</f>
        <v>46409.00007</v>
      </c>
    </row>
    <row r="8" customFormat="false" ht="31.5" hidden="false" customHeight="true" outlineLevel="0" collapsed="false">
      <c r="A8" s="40" t="s">
        <v>597</v>
      </c>
      <c r="B8" s="12" t="s">
        <v>434</v>
      </c>
      <c r="C8" s="15" t="n">
        <v>46457</v>
      </c>
      <c r="D8" s="13" t="s">
        <v>598</v>
      </c>
      <c r="E8" s="13" t="s">
        <v>599</v>
      </c>
      <c r="F8" s="13" t="s">
        <v>448</v>
      </c>
      <c r="G8" s="13" t="s">
        <v>298</v>
      </c>
      <c r="H8" s="14" t="s">
        <v>591</v>
      </c>
      <c r="I8" s="39" t="n">
        <f aca="false">IF(C8="","",C8-Cover!$C$7)</f>
        <v>182</v>
      </c>
      <c r="J8" s="54" t="n">
        <f aca="false">IF(AND(C8&lt;&gt;"",N(I8)&gt;=0,H8&lt;&gt;"Complete"),C8+ROW()/100000,"")</f>
        <v>46457.00008</v>
      </c>
    </row>
    <row r="9" customFormat="false" ht="31.5" hidden="false" customHeight="true" outlineLevel="0" collapsed="false">
      <c r="A9" s="40" t="s">
        <v>600</v>
      </c>
      <c r="B9" s="12" t="s">
        <v>490</v>
      </c>
      <c r="C9" s="15" t="n">
        <v>46492</v>
      </c>
      <c r="D9" s="13" t="s">
        <v>601</v>
      </c>
      <c r="E9" s="13" t="s">
        <v>602</v>
      </c>
      <c r="F9" s="13" t="s">
        <v>603</v>
      </c>
      <c r="G9" s="13" t="s">
        <v>293</v>
      </c>
      <c r="H9" s="14" t="s">
        <v>591</v>
      </c>
      <c r="I9" s="39" t="n">
        <f aca="false">IF(C9="","",C9-Cover!$C$7)</f>
        <v>217</v>
      </c>
      <c r="J9" s="54" t="n">
        <f aca="false">IF(AND(C9&lt;&gt;"",N(I9)&gt;=0,H9&lt;&gt;"Complete"),C9+ROW()/100000,"")</f>
        <v>46492.00009</v>
      </c>
    </row>
    <row r="10" customFormat="false" ht="31.5" hidden="false" customHeight="true" outlineLevel="0" collapsed="false">
      <c r="A10" s="40" t="s">
        <v>604</v>
      </c>
      <c r="B10" s="12" t="s">
        <v>605</v>
      </c>
      <c r="C10" s="15" t="n">
        <v>46499</v>
      </c>
      <c r="D10" s="13" t="s">
        <v>606</v>
      </c>
      <c r="E10" s="13" t="s">
        <v>607</v>
      </c>
      <c r="F10" s="13" t="s">
        <v>608</v>
      </c>
      <c r="G10" s="13" t="s">
        <v>298</v>
      </c>
      <c r="H10" s="14" t="s">
        <v>591</v>
      </c>
      <c r="I10" s="39" t="n">
        <f aca="false">IF(C10="","",C10-Cover!$C$7)</f>
        <v>224</v>
      </c>
      <c r="J10" s="54" t="n">
        <f aca="false">IF(AND(C10&lt;&gt;"",N(I10)&gt;=0,H10&lt;&gt;"Complete"),C10+ROW()/100000,"")</f>
        <v>46499.0001</v>
      </c>
    </row>
    <row r="11" customFormat="false" ht="31.5" hidden="false" customHeight="true" outlineLevel="0" collapsed="false">
      <c r="A11" s="40" t="s">
        <v>609</v>
      </c>
      <c r="B11" s="12" t="s">
        <v>484</v>
      </c>
      <c r="C11" s="15" t="n">
        <v>46541</v>
      </c>
      <c r="D11" s="13" t="s">
        <v>610</v>
      </c>
      <c r="E11" s="13" t="s">
        <v>611</v>
      </c>
      <c r="F11" s="13" t="s">
        <v>612</v>
      </c>
      <c r="G11" s="13" t="s">
        <v>298</v>
      </c>
      <c r="H11" s="14" t="s">
        <v>591</v>
      </c>
      <c r="I11" s="39" t="n">
        <f aca="false">IF(C11="","",C11-Cover!$C$7)</f>
        <v>266</v>
      </c>
      <c r="J11" s="54" t="n">
        <f aca="false">IF(AND(C11&lt;&gt;"",N(I11)&gt;=0,H11&lt;&gt;"Complete"),C11+ROW()/100000,"")</f>
        <v>46541.00011</v>
      </c>
    </row>
    <row r="12" customFormat="false" ht="31.5" hidden="false" customHeight="true" outlineLevel="0" collapsed="false">
      <c r="A12" s="40" t="s">
        <v>613</v>
      </c>
      <c r="B12" s="12" t="s">
        <v>614</v>
      </c>
      <c r="C12" s="15" t="n">
        <v>46590</v>
      </c>
      <c r="D12" s="13" t="s">
        <v>615</v>
      </c>
      <c r="E12" s="13" t="s">
        <v>607</v>
      </c>
      <c r="F12" s="13" t="s">
        <v>608</v>
      </c>
      <c r="G12" s="13" t="s">
        <v>298</v>
      </c>
      <c r="H12" s="14" t="s">
        <v>591</v>
      </c>
      <c r="I12" s="39" t="n">
        <f aca="false">IF(C12="","",C12-Cover!$C$7)</f>
        <v>315</v>
      </c>
      <c r="J12" s="54" t="n">
        <f aca="false">IF(AND(C12&lt;&gt;"",N(I12)&gt;=0,H12&lt;&gt;"Complete"),C12+ROW()/100000,"")</f>
        <v>46590.00012</v>
      </c>
    </row>
    <row r="13" customFormat="false" ht="31.5" hidden="false" customHeight="true" outlineLevel="0" collapsed="false">
      <c r="A13" s="40" t="s">
        <v>616</v>
      </c>
      <c r="B13" s="12" t="s">
        <v>507</v>
      </c>
      <c r="C13" s="15" t="n">
        <v>46660</v>
      </c>
      <c r="D13" s="13" t="s">
        <v>617</v>
      </c>
      <c r="E13" s="13" t="s">
        <v>618</v>
      </c>
      <c r="F13" s="13" t="s">
        <v>619</v>
      </c>
      <c r="G13" s="13" t="s">
        <v>298</v>
      </c>
      <c r="H13" s="14" t="s">
        <v>591</v>
      </c>
      <c r="I13" s="39" t="n">
        <f aca="false">IF(C13="","",C13-Cover!$C$7)</f>
        <v>385</v>
      </c>
      <c r="J13" s="54" t="n">
        <f aca="false">IF(AND(C13&lt;&gt;"",N(I13)&gt;=0,H13&lt;&gt;"Complete"),C13+ROW()/100000,"")</f>
        <v>46660.00013</v>
      </c>
    </row>
    <row r="14" customFormat="false" ht="31.5" hidden="false" customHeight="true" outlineLevel="0" collapsed="false">
      <c r="A14" s="40" t="s">
        <v>620</v>
      </c>
      <c r="B14" s="12" t="s">
        <v>621</v>
      </c>
      <c r="C14" s="15" t="n">
        <v>46681</v>
      </c>
      <c r="D14" s="13" t="s">
        <v>622</v>
      </c>
      <c r="E14" s="13" t="s">
        <v>607</v>
      </c>
      <c r="F14" s="13" t="s">
        <v>608</v>
      </c>
      <c r="G14" s="13" t="s">
        <v>298</v>
      </c>
      <c r="H14" s="14" t="s">
        <v>591</v>
      </c>
      <c r="I14" s="39" t="n">
        <f aca="false">IF(C14="","",C14-Cover!$C$7)</f>
        <v>406</v>
      </c>
      <c r="J14" s="54" t="n">
        <f aca="false">IF(AND(C14&lt;&gt;"",N(I14)&gt;=0,H14&lt;&gt;"Complete"),C14+ROW()/100000,"")</f>
        <v>46681.00014</v>
      </c>
    </row>
    <row r="15" customFormat="false" ht="31.5" hidden="false" customHeight="true" outlineLevel="0" collapsed="false">
      <c r="A15" s="40" t="s">
        <v>623</v>
      </c>
      <c r="B15" s="12" t="s">
        <v>624</v>
      </c>
      <c r="C15" s="15" t="n">
        <v>46779</v>
      </c>
      <c r="D15" s="13" t="s">
        <v>625</v>
      </c>
      <c r="E15" s="13" t="s">
        <v>626</v>
      </c>
      <c r="F15" s="13" t="s">
        <v>627</v>
      </c>
      <c r="G15" s="13" t="s">
        <v>293</v>
      </c>
      <c r="H15" s="14" t="s">
        <v>591</v>
      </c>
      <c r="I15" s="39" t="n">
        <f aca="false">IF(C15="","",C15-Cover!$C$7)</f>
        <v>504</v>
      </c>
      <c r="J15" s="54" t="n">
        <f aca="false">IF(AND(C15&lt;&gt;"",N(I15)&gt;=0,H15&lt;&gt;"Complete"),C15+ROW()/100000,"")</f>
        <v>46779.00015</v>
      </c>
    </row>
    <row r="16" customFormat="false" ht="19.5" hidden="false" customHeight="true" outlineLevel="0" collapsed="false">
      <c r="A16" s="14"/>
      <c r="B16" s="13"/>
      <c r="C16" s="15"/>
      <c r="D16" s="13"/>
      <c r="E16" s="13"/>
      <c r="F16" s="13"/>
      <c r="G16" s="13"/>
      <c r="H16" s="14"/>
      <c r="I16" s="39" t="str">
        <f aca="false">IF(C16="","",C16-Cover!$C$7)</f>
        <v/>
      </c>
      <c r="J16" s="53" t="str">
        <f aca="false">IF(AND(C16&lt;&gt;"",N(I16)&gt;=0,H16&lt;&gt;"Complete"),C16+ROW()/100000,"")</f>
        <v/>
      </c>
    </row>
    <row r="17" customFormat="false" ht="19.5" hidden="false" customHeight="true" outlineLevel="0" collapsed="false">
      <c r="A17" s="14"/>
      <c r="B17" s="13"/>
      <c r="C17" s="15"/>
      <c r="D17" s="13"/>
      <c r="E17" s="13"/>
      <c r="F17" s="13"/>
      <c r="G17" s="13"/>
      <c r="H17" s="14"/>
      <c r="I17" s="39" t="str">
        <f aca="false">IF(C17="","",C17-Cover!$C$7)</f>
        <v/>
      </c>
      <c r="J17" s="53" t="str">
        <f aca="false">IF(AND(C17&lt;&gt;"",N(I17)&gt;=0,H17&lt;&gt;"Complete"),C17+ROW()/100000,"")</f>
        <v/>
      </c>
    </row>
    <row r="18" customFormat="false" ht="19.5" hidden="false" customHeight="true" outlineLevel="0" collapsed="false">
      <c r="A18" s="14"/>
      <c r="B18" s="13"/>
      <c r="C18" s="15"/>
      <c r="D18" s="13"/>
      <c r="E18" s="13"/>
      <c r="F18" s="13"/>
      <c r="G18" s="13"/>
      <c r="H18" s="14"/>
      <c r="I18" s="39" t="str">
        <f aca="false">IF(C18="","",C18-Cover!$C$7)</f>
        <v/>
      </c>
      <c r="J18" s="53" t="str">
        <f aca="false">IF(AND(C18&lt;&gt;"",N(I18)&gt;=0,H18&lt;&gt;"Complete"),C18+ROW()/100000,"")</f>
        <v/>
      </c>
    </row>
    <row r="19" customFormat="false" ht="19.5" hidden="false" customHeight="true" outlineLevel="0" collapsed="false">
      <c r="A19" s="14"/>
      <c r="B19" s="13"/>
      <c r="C19" s="15"/>
      <c r="D19" s="13"/>
      <c r="E19" s="13"/>
      <c r="F19" s="13"/>
      <c r="G19" s="13"/>
      <c r="H19" s="14"/>
      <c r="I19" s="39" t="str">
        <f aca="false">IF(C19="","",C19-Cover!$C$7)</f>
        <v/>
      </c>
      <c r="J19" s="53" t="str">
        <f aca="false">IF(AND(C19&lt;&gt;"",N(I19)&gt;=0,H19&lt;&gt;"Complete"),C19+ROW()/100000,"")</f>
        <v/>
      </c>
    </row>
    <row r="20" customFormat="false" ht="19.5" hidden="false" customHeight="true" outlineLevel="0" collapsed="false">
      <c r="A20" s="14"/>
      <c r="B20" s="13"/>
      <c r="C20" s="15"/>
      <c r="D20" s="13"/>
      <c r="E20" s="13"/>
      <c r="F20" s="13"/>
      <c r="G20" s="13"/>
      <c r="H20" s="14"/>
      <c r="I20" s="39" t="str">
        <f aca="false">IF(C20="","",C20-Cover!$C$7)</f>
        <v/>
      </c>
      <c r="J20" s="53" t="str">
        <f aca="false">IF(AND(C20&lt;&gt;"",N(I20)&gt;=0,H20&lt;&gt;"Complete"),C20+ROW()/100000,"")</f>
        <v/>
      </c>
    </row>
    <row r="21" customFormat="false" ht="19.5" hidden="false" customHeight="true" outlineLevel="0" collapsed="false">
      <c r="A21" s="14"/>
      <c r="B21" s="13"/>
      <c r="C21" s="15"/>
      <c r="D21" s="13"/>
      <c r="E21" s="13"/>
      <c r="F21" s="13"/>
      <c r="G21" s="13"/>
      <c r="H21" s="14"/>
      <c r="I21" s="39" t="str">
        <f aca="false">IF(C21="","",C21-Cover!$C$7)</f>
        <v/>
      </c>
      <c r="J21" s="53" t="str">
        <f aca="false">IF(AND(C21&lt;&gt;"",N(I21)&gt;=0,H21&lt;&gt;"Complete"),C21+ROW()/100000,"")</f>
        <v/>
      </c>
    </row>
    <row r="22" customFormat="false" ht="19.5" hidden="false" customHeight="true" outlineLevel="0" collapsed="false">
      <c r="A22" s="14"/>
      <c r="B22" s="13"/>
      <c r="C22" s="15"/>
      <c r="D22" s="13"/>
      <c r="E22" s="13"/>
      <c r="F22" s="13"/>
      <c r="G22" s="13"/>
      <c r="H22" s="14"/>
      <c r="I22" s="39" t="str">
        <f aca="false">IF(C22="","",C22-Cover!$C$7)</f>
        <v/>
      </c>
      <c r="J22" s="53" t="str">
        <f aca="false">IF(AND(C22&lt;&gt;"",N(I22)&gt;=0,H22&lt;&gt;"Complete"),C22+ROW()/100000,"")</f>
        <v/>
      </c>
    </row>
    <row r="23" customFormat="false" ht="19.5" hidden="false" customHeight="true" outlineLevel="0" collapsed="false">
      <c r="A23" s="14"/>
      <c r="B23" s="13"/>
      <c r="C23" s="15"/>
      <c r="D23" s="13"/>
      <c r="E23" s="13"/>
      <c r="F23" s="13"/>
      <c r="G23" s="13"/>
      <c r="H23" s="14"/>
      <c r="I23" s="39" t="str">
        <f aca="false">IF(C23="","",C23-Cover!$C$7)</f>
        <v/>
      </c>
      <c r="J23" s="53" t="str">
        <f aca="false">IF(AND(C23&lt;&gt;"",N(I23)&gt;=0,H23&lt;&gt;"Complete"),C23+ROW()/100000,"")</f>
        <v/>
      </c>
    </row>
    <row r="24" customFormat="false" ht="19.5" hidden="false" customHeight="true" outlineLevel="0" collapsed="false">
      <c r="A24" s="14"/>
      <c r="B24" s="13"/>
      <c r="C24" s="15"/>
      <c r="D24" s="13"/>
      <c r="E24" s="13"/>
      <c r="F24" s="13"/>
      <c r="G24" s="13"/>
      <c r="H24" s="14"/>
      <c r="I24" s="39" t="str">
        <f aca="false">IF(C24="","",C24-Cover!$C$7)</f>
        <v/>
      </c>
      <c r="J24" s="53" t="str">
        <f aca="false">IF(AND(C24&lt;&gt;"",N(I24)&gt;=0,H24&lt;&gt;"Complete"),C24+ROW()/100000,"")</f>
        <v/>
      </c>
    </row>
    <row r="25" customFormat="false" ht="19.5" hidden="false" customHeight="true" outlineLevel="0" collapsed="false">
      <c r="A25" s="14"/>
      <c r="B25" s="13"/>
      <c r="C25" s="15"/>
      <c r="D25" s="13"/>
      <c r="E25" s="13"/>
      <c r="F25" s="13"/>
      <c r="G25" s="13"/>
      <c r="H25" s="14"/>
      <c r="I25" s="39" t="str">
        <f aca="false">IF(C25="","",C25-Cover!$C$7)</f>
        <v/>
      </c>
      <c r="J25" s="53" t="str">
        <f aca="false">IF(AND(C25&lt;&gt;"",N(I25)&gt;=0,H25&lt;&gt;"Complete"),C25+ROW()/100000,"")</f>
        <v/>
      </c>
    </row>
    <row r="26" customFormat="false" ht="19.5" hidden="false" customHeight="true" outlineLevel="0" collapsed="false">
      <c r="A26" s="14"/>
      <c r="B26" s="13"/>
      <c r="C26" s="15"/>
      <c r="D26" s="13"/>
      <c r="E26" s="13"/>
      <c r="F26" s="13"/>
      <c r="G26" s="13"/>
      <c r="H26" s="14"/>
      <c r="I26" s="39" t="str">
        <f aca="false">IF(C26="","",C26-Cover!$C$7)</f>
        <v/>
      </c>
      <c r="J26" s="53" t="str">
        <f aca="false">IF(AND(C26&lt;&gt;"",N(I26)&gt;=0,H26&lt;&gt;"Complete"),C26+ROW()/100000,"")</f>
        <v/>
      </c>
    </row>
    <row r="27" customFormat="false" ht="19.5" hidden="false" customHeight="true" outlineLevel="0" collapsed="false">
      <c r="A27" s="14"/>
      <c r="B27" s="13"/>
      <c r="C27" s="15"/>
      <c r="D27" s="13"/>
      <c r="E27" s="13"/>
      <c r="F27" s="13"/>
      <c r="G27" s="13"/>
      <c r="H27" s="14"/>
      <c r="I27" s="39" t="str">
        <f aca="false">IF(C27="","",C27-Cover!$C$7)</f>
        <v/>
      </c>
      <c r="J27" s="53" t="str">
        <f aca="false">IF(AND(C27&lt;&gt;"",N(I27)&gt;=0,H27&lt;&gt;"Complete"),C27+ROW()/100000,"")</f>
        <v/>
      </c>
    </row>
    <row r="28" customFormat="false" ht="19.5" hidden="false" customHeight="true" outlineLevel="0" collapsed="false">
      <c r="A28" s="14"/>
      <c r="B28" s="13"/>
      <c r="C28" s="15"/>
      <c r="D28" s="13"/>
      <c r="E28" s="13"/>
      <c r="F28" s="13"/>
      <c r="G28" s="13"/>
      <c r="H28" s="14"/>
      <c r="I28" s="39" t="str">
        <f aca="false">IF(C28="","",C28-Cover!$C$7)</f>
        <v/>
      </c>
      <c r="J28" s="53" t="str">
        <f aca="false">IF(AND(C28&lt;&gt;"",N(I28)&gt;=0,H28&lt;&gt;"Complete"),C28+ROW()/100000,"")</f>
        <v/>
      </c>
    </row>
    <row r="29" customFormat="false" ht="19.5" hidden="false" customHeight="true" outlineLevel="0" collapsed="false">
      <c r="A29" s="14"/>
      <c r="B29" s="13"/>
      <c r="C29" s="15"/>
      <c r="D29" s="13"/>
      <c r="E29" s="13"/>
      <c r="F29" s="13"/>
      <c r="G29" s="13"/>
      <c r="H29" s="14"/>
      <c r="I29" s="39" t="str">
        <f aca="false">IF(C29="","",C29-Cover!$C$7)</f>
        <v/>
      </c>
      <c r="J29" s="53" t="str">
        <f aca="false">IF(AND(C29&lt;&gt;"",N(I29)&gt;=0,H29&lt;&gt;"Complete"),C29+ROW()/100000,"")</f>
        <v/>
      </c>
    </row>
    <row r="30" customFormat="false" ht="19.5" hidden="false" customHeight="true" outlineLevel="0" collapsed="false">
      <c r="A30" s="14"/>
      <c r="B30" s="13"/>
      <c r="C30" s="15"/>
      <c r="D30" s="13"/>
      <c r="E30" s="13"/>
      <c r="F30" s="13"/>
      <c r="G30" s="13"/>
      <c r="H30" s="14"/>
      <c r="I30" s="39" t="str">
        <f aca="false">IF(C30="","",C30-Cover!$C$7)</f>
        <v/>
      </c>
      <c r="J30" s="53" t="str">
        <f aca="false">IF(AND(C30&lt;&gt;"",N(I30)&gt;=0,H30&lt;&gt;"Complete"),C30+ROW()/100000,"")</f>
        <v/>
      </c>
    </row>
    <row r="32" customFormat="false" ht="19.5" hidden="false" customHeight="true" outlineLevel="0" collapsed="false">
      <c r="A32" s="8" t="s">
        <v>628</v>
      </c>
      <c r="B32" s="9"/>
      <c r="C32" s="9"/>
      <c r="D32" s="9"/>
      <c r="E32" s="9"/>
      <c r="F32" s="9"/>
      <c r="G32" s="9"/>
      <c r="H32" s="9"/>
      <c r="I32" s="9"/>
    </row>
    <row r="33" customFormat="false" ht="31.5" hidden="false" customHeight="true" outlineLevel="0" collapsed="false">
      <c r="A33" s="37" t="s">
        <v>95</v>
      </c>
      <c r="B33" s="37" t="s">
        <v>55</v>
      </c>
      <c r="C33" s="37" t="s">
        <v>629</v>
      </c>
      <c r="D33" s="37"/>
      <c r="E33" s="37" t="s">
        <v>630</v>
      </c>
      <c r="F33" s="37" t="s">
        <v>631</v>
      </c>
      <c r="G33" s="37" t="s">
        <v>632</v>
      </c>
      <c r="H33" s="37"/>
      <c r="I33" s="37" t="s">
        <v>124</v>
      </c>
    </row>
    <row r="34" customFormat="false" ht="57.75" hidden="false" customHeight="true" outlineLevel="0" collapsed="false">
      <c r="A34" s="40" t="s">
        <v>633</v>
      </c>
      <c r="B34" s="14" t="s">
        <v>634</v>
      </c>
      <c r="C34" s="13" t="s">
        <v>635</v>
      </c>
      <c r="D34" s="13"/>
      <c r="E34" s="13" t="s">
        <v>636</v>
      </c>
      <c r="F34" s="13" t="s">
        <v>637</v>
      </c>
      <c r="G34" s="13" t="s">
        <v>638</v>
      </c>
      <c r="H34" s="13"/>
      <c r="I34" s="13" t="s">
        <v>103</v>
      </c>
      <c r="J34" s="14" t="s">
        <v>639</v>
      </c>
    </row>
    <row r="35" customFormat="false" ht="57.75" hidden="false" customHeight="true" outlineLevel="0" collapsed="false">
      <c r="A35" s="40" t="s">
        <v>640</v>
      </c>
      <c r="B35" s="14" t="s">
        <v>634</v>
      </c>
      <c r="C35" s="13" t="s">
        <v>641</v>
      </c>
      <c r="D35" s="13"/>
      <c r="E35" s="13" t="s">
        <v>642</v>
      </c>
      <c r="F35" s="13" t="s">
        <v>643</v>
      </c>
      <c r="G35" s="13" t="s">
        <v>644</v>
      </c>
      <c r="H35" s="13"/>
      <c r="I35" s="13" t="s">
        <v>115</v>
      </c>
      <c r="J35" s="14" t="s">
        <v>645</v>
      </c>
    </row>
    <row r="36" customFormat="false" ht="57.75" hidden="false" customHeight="true" outlineLevel="0" collapsed="false">
      <c r="A36" s="40" t="s">
        <v>646</v>
      </c>
      <c r="B36" s="14" t="s">
        <v>634</v>
      </c>
      <c r="C36" s="13" t="s">
        <v>647</v>
      </c>
      <c r="D36" s="13"/>
      <c r="E36" s="13" t="s">
        <v>648</v>
      </c>
      <c r="F36" s="13" t="s">
        <v>649</v>
      </c>
      <c r="G36" s="13" t="s">
        <v>650</v>
      </c>
      <c r="H36" s="13"/>
      <c r="I36" s="13" t="s">
        <v>109</v>
      </c>
      <c r="J36" s="14" t="s">
        <v>651</v>
      </c>
    </row>
    <row r="37" customFormat="false" ht="57.75" hidden="false" customHeight="true" outlineLevel="0" collapsed="false">
      <c r="A37" s="40" t="s">
        <v>652</v>
      </c>
      <c r="B37" s="14" t="s">
        <v>634</v>
      </c>
      <c r="C37" s="13" t="s">
        <v>653</v>
      </c>
      <c r="D37" s="13"/>
      <c r="E37" s="13" t="s">
        <v>654</v>
      </c>
      <c r="F37" s="13" t="s">
        <v>655</v>
      </c>
      <c r="G37" s="13" t="s">
        <v>656</v>
      </c>
      <c r="H37" s="13"/>
      <c r="I37" s="13" t="s">
        <v>115</v>
      </c>
      <c r="J37" s="14" t="s">
        <v>657</v>
      </c>
    </row>
    <row r="38" customFormat="false" ht="57.75" hidden="false" customHeight="true" outlineLevel="0" collapsed="false">
      <c r="A38" s="40" t="s">
        <v>658</v>
      </c>
      <c r="B38" s="14" t="s">
        <v>634</v>
      </c>
      <c r="C38" s="13" t="s">
        <v>659</v>
      </c>
      <c r="D38" s="13"/>
      <c r="E38" s="13" t="s">
        <v>660</v>
      </c>
      <c r="F38" s="13" t="s">
        <v>661</v>
      </c>
      <c r="G38" s="13" t="s">
        <v>662</v>
      </c>
      <c r="H38" s="13"/>
      <c r="I38" s="13" t="s">
        <v>115</v>
      </c>
      <c r="J38" s="14" t="s">
        <v>663</v>
      </c>
    </row>
    <row r="39" customFormat="false" ht="57.75" hidden="false" customHeight="true" outlineLevel="0" collapsed="false">
      <c r="A39" s="40" t="s">
        <v>664</v>
      </c>
      <c r="B39" s="14" t="s">
        <v>634</v>
      </c>
      <c r="C39" s="13" t="s">
        <v>665</v>
      </c>
      <c r="D39" s="13"/>
      <c r="E39" s="13" t="s">
        <v>666</v>
      </c>
      <c r="F39" s="13" t="s">
        <v>667</v>
      </c>
      <c r="G39" s="13" t="s">
        <v>668</v>
      </c>
      <c r="H39" s="13"/>
      <c r="I39" s="13" t="s">
        <v>115</v>
      </c>
      <c r="J39" s="14" t="s">
        <v>669</v>
      </c>
    </row>
  </sheetData>
  <mergeCells count="14">
    <mergeCell ref="C33:D33"/>
    <mergeCell ref="G33:H33"/>
    <mergeCell ref="C34:D34"/>
    <mergeCell ref="G34:H34"/>
    <mergeCell ref="C35:D35"/>
    <mergeCell ref="G35:H35"/>
    <mergeCell ref="C36:D36"/>
    <mergeCell ref="G36:H36"/>
    <mergeCell ref="C37:D37"/>
    <mergeCell ref="G37:H37"/>
    <mergeCell ref="C38:D38"/>
    <mergeCell ref="G38:H38"/>
    <mergeCell ref="C39:D39"/>
    <mergeCell ref="G39:H39"/>
  </mergeCells>
  <conditionalFormatting sqref="H6:H30">
    <cfRule type="cellIs" priority="2" operator="equal" aboveAverage="0" equalAverage="0" bottom="0" percent="0" rank="0" text="" dxfId="0">
      <formula>"Complete"</formula>
    </cfRule>
    <cfRule type="cellIs" priority="3" operator="equal" aboveAverage="0" equalAverage="0" bottom="0" percent="0" rank="0" text="" dxfId="3">
      <formula>"Moved"</formula>
    </cfRule>
  </conditionalFormatting>
  <dataValidations count="1">
    <dataValidation allowBlank="true" errorStyle="stop" operator="between" showDropDown="false" showErrorMessage="false" showInputMessage="false" sqref="H6:H30" type="list">
      <formula1>"Scheduled,Complete,Moved,Cancelled"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2026-09-11T00:51:49Z</dcterms:created>
  <dc:creator>openpyxl</dc:creator>
  <dc:description/>
  <dc:language>en-US</dc:language>
  <cp:lastModifiedBy/>
  <dcterms:modified xsi:type="dcterms:W3CDTF">2026-09-11T00:51:52Z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